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CMRT - Zinn\Version 6.6\"/>
    </mc:Choice>
  </mc:AlternateContent>
  <xr:revisionPtr revIDLastSave="0" documentId="13_ncr:1_{AE595CC1-D22A-4106-9654-F66D2BC7426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X12" i="5"/>
  <c r="X13" i="5"/>
  <c r="X14" i="5"/>
  <c r="X15" i="5"/>
  <c r="X16" i="5"/>
  <c r="X17" i="5"/>
  <c r="X18" i="5"/>
  <c r="X20" i="5"/>
  <c r="X21" i="5"/>
  <c r="X22" i="5"/>
  <c r="X23" i="5"/>
  <c r="X24" i="5"/>
  <c r="X25" i="5"/>
  <c r="X26" i="5"/>
  <c r="X28" i="5"/>
  <c r="X29" i="5"/>
  <c r="X31" i="5"/>
  <c r="X32" i="5"/>
  <c r="X33" i="5"/>
  <c r="X34" i="5"/>
  <c r="X35" i="5"/>
  <c r="X37" i="5"/>
  <c r="X38" i="5"/>
  <c r="X39" i="5"/>
  <c r="X41" i="5"/>
  <c r="X42"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X27" i="5"/>
  <c r="F43" i="5"/>
  <c r="X43" i="5"/>
  <c r="H87" i="5"/>
  <c r="E87" i="5"/>
  <c r="X87" i="5"/>
  <c r="F103" i="5"/>
  <c r="E103" i="5"/>
  <c r="X103" i="5"/>
  <c r="I175" i="5"/>
  <c r="E175" i="5"/>
  <c r="X175" i="5"/>
  <c r="I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X6" i="5"/>
  <c r="H18" i="5"/>
  <c r="F18" i="5"/>
  <c r="R20" i="5"/>
  <c r="F20" i="5"/>
  <c r="H20" i="5"/>
  <c r="I20" i="5"/>
  <c r="F21" i="5"/>
  <c r="R21" i="5"/>
  <c r="H22" i="5"/>
  <c r="F22" i="5"/>
  <c r="F24" i="5"/>
  <c r="H26" i="5"/>
  <c r="F26" i="5"/>
  <c r="H28" i="5"/>
  <c r="R28" i="5"/>
  <c r="F28" i="5"/>
  <c r="I28" i="5"/>
  <c r="R29" i="5"/>
  <c r="F29" i="5"/>
  <c r="F30" i="5"/>
  <c r="H30" i="5"/>
  <c r="F32" i="5"/>
  <c r="F33" i="5"/>
  <c r="H33" i="5"/>
  <c r="F34" i="5"/>
  <c r="R36" i="5"/>
  <c r="I36" i="5"/>
  <c r="F36" i="5"/>
  <c r="H36" i="5"/>
  <c r="F37" i="5"/>
  <c r="H37" i="5"/>
  <c r="F38" i="5"/>
  <c r="R40" i="5"/>
  <c r="F40" i="5"/>
  <c r="H40" i="5"/>
  <c r="I40" i="5"/>
  <c r="F41" i="5"/>
  <c r="H41" i="5"/>
  <c r="F42" i="5"/>
  <c r="R44" i="5"/>
  <c r="I44" i="5"/>
  <c r="F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AB10" i="5"/>
  <c r="AB11" i="5"/>
  <c r="AB12" i="5"/>
  <c r="AB13" i="5"/>
  <c r="AB14" i="5"/>
  <c r="AB15" i="5"/>
  <c r="AB16" i="5"/>
  <c r="AB17" i="5"/>
  <c r="AB18" i="5"/>
  <c r="AB22" i="5"/>
  <c r="AB24" i="5"/>
  <c r="AB26" i="5"/>
  <c r="AB30" i="5"/>
  <c r="AB32"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I17" i="5"/>
  <c r="F17" i="5"/>
  <c r="H17" i="5"/>
  <c r="R17" i="5"/>
  <c r="R18" i="5"/>
  <c r="I18" i="5"/>
  <c r="R19" i="5"/>
  <c r="H19" i="5"/>
  <c r="F19" i="5"/>
  <c r="H21" i="5"/>
  <c r="I21" i="5"/>
  <c r="R22" i="5"/>
  <c r="I22" i="5"/>
  <c r="F23" i="5"/>
  <c r="I23" i="5"/>
  <c r="H23" i="5"/>
  <c r="R23" i="5"/>
  <c r="I24" i="5"/>
  <c r="H24" i="5"/>
  <c r="R24" i="5"/>
  <c r="F25" i="5"/>
  <c r="R25" i="5"/>
  <c r="I25" i="5"/>
  <c r="H25" i="5"/>
  <c r="R26" i="5"/>
  <c r="I26" i="5"/>
  <c r="F27" i="5"/>
  <c r="R27" i="5"/>
  <c r="H27" i="5"/>
  <c r="I29" i="5"/>
  <c r="H29" i="5"/>
  <c r="I30" i="5"/>
  <c r="R30" i="5"/>
  <c r="H31" i="5"/>
  <c r="R31" i="5"/>
  <c r="F31" i="5"/>
  <c r="I31" i="5"/>
  <c r="H32" i="5"/>
  <c r="I32" i="5"/>
  <c r="R32" i="5"/>
  <c r="I33" i="5"/>
  <c r="R33" i="5"/>
  <c r="H34" i="5"/>
  <c r="R34" i="5"/>
  <c r="I34" i="5"/>
  <c r="F35" i="5"/>
  <c r="H35" i="5"/>
  <c r="R35" i="5"/>
  <c r="I35" i="5"/>
  <c r="R37" i="5"/>
  <c r="I37" i="5"/>
  <c r="H38" i="5"/>
  <c r="I38" i="5"/>
  <c r="R38" i="5"/>
  <c r="I39" i="5"/>
  <c r="R39" i="5"/>
  <c r="F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<sst xmlns="http://schemas.openxmlformats.org/spreadsheetml/2006/main" count="22579" uniqueCount="15890">
  <si>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</si>
  <si>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</si>
  <si>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</si>
  <si>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</si>
  <si>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</si>
  <si>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</si>
  <si>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</si>
  <si>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</si>
  <si>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</si>
  <si>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</si>
  <si>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</si>
  <si>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</si>
  <si>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</si>
  <si>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</si>
  <si>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</si>
  <si>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</si>
  <si>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</si>
  <si>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</si>
  <si>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</si>
  <si>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</si>
  <si>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</si>
  <si>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</si>
  <si>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</si>
  <si>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</si>
  <si>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</si>
  <si>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</si>
  <si>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</si>
  <si>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</si>
  <si>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</si>
  <si>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</si>
  <si>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</si>
  <si>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</si>
  <si>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</si>
  <si>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</si>
  <si>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</si>
  <si>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</si>
  <si>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</si>
  <si>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</si>
  <si>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</si>
  <si>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</si>
  <si>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</si>
  <si>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</si>
  <si>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</si>
  <si>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</si>
  <si>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</si>
  <si>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</si>
  <si>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</si>
  <si>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</si>
  <si>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</si>
  <si>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</si>
  <si>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</si>
  <si>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</si>
  <si>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</si>
  <si>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</si>
  <si>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</si>
  <si>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</si>
  <si>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</si>
  <si>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</si>
  <si>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</si>
  <si>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</si>
  <si>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</si>
  <si>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</si>
  <si>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</si>
  <si>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</si>
  <si>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</si>
  <si>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</si>
  <si>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</si>
  <si>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</si>
  <si>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</si>
  <si>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</si>
  <si>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</si>
  <si>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</si>
  <si>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</si>
  <si>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</si>
  <si>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</si>
  <si>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</si>
  <si>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</si>
  <si>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</si>
  <si>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</si>
  <si>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</si>
  <si>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</si>
  <si>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</si>
  <si>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</si>
  <si>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</si>
  <si>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</si>
  <si>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</si>
  <si>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</si>
  <si>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</si>
  <si>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</si>
  <si>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</si>
  <si>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</si>
  <si>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</si>
  <si>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</si>
  <si>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</si>
  <si>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</si>
  <si>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</si>
  <si>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</si>
  <si>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</si>
  <si>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</si>
  <si>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</si>
  <si>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</si>
  <si>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</si>
  <si>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</si>
  <si>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</si>
  <si>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</si>
  <si>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</si>
  <si>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</si>
  <si>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</si>
  <si>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</si>
  <si>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</si>
  <si>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</si>
  <si>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</si>
  <si>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</si>
  <si>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</si>
  <si>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</si>
  <si>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</si>
  <si>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</si>
  <si>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</si>
  <si>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</si>
  <si>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</si>
  <si>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</si>
  <si>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</si>
  <si>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</si>
  <si>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</si>
  <si>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</si>
  <si>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</si>
  <si>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</si>
  <si>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</si>
  <si>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</si>
  <si>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</si>
  <si>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</si>
  <si>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</si>
  <si>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</si>
  <si>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</si>
  <si>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</si>
  <si>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</si>
  <si>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</si>
  <si>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</si>
  <si>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</si>
  <si>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</si>
  <si>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</si>
  <si>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</si>
  <si>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</si>
  <si>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</si>
  <si>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</si>
  <si>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</si>
  <si>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</si>
  <si>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</si>
  <si>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</si>
  <si>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</si>
  <si>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</si>
  <si>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</si>
  <si>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</si>
  <si>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</si>
  <si>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</si>
  <si>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</si>
  <si>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</si>
  <si>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</si>
  <si>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</si>
  <si>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</si>
  <si>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</si>
  <si>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</si>
  <si>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</si>
  <si>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</si>
  <si>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</si>
  <si>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</si>
  <si>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</si>
  <si>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</si>
  <si>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</si>
  <si>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</si>
  <si>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</si>
  <si>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</si>
  <si>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</si>
  <si>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</si>
  <si>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</si>
  <si>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</si>
  <si>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</si>
  <si>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</si>
  <si>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</si>
  <si>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</si>
  <si>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</si>
  <si>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</si>
  <si>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</si>
  <si>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</si>
  <si>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</si>
  <si>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</si>
  <si>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</si>
  <si>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</si>
  <si>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</si>
  <si>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</si>
  <si>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</si>
  <si>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</si>
  <si>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</si>
  <si>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</si>
  <si>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</si>
  <si>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</si>
  <si>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</si>
  <si>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</si>
  <si>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</si>
  <si>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</si>
  <si>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</si>
  <si>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</si>
  <si>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</si>
  <si>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</si>
  <si>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</si>
  <si>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</si>
  <si>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</si>
  <si>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</si>
  <si>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</si>
  <si>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</si>
  <si>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</si>
  <si>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</si>
  <si>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</si>
  <si>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</si>
  <si>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</si>
  <si>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</si>
  <si>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</si>
  <si>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</si>
  <si>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</si>
  <si>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</si>
  <si>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</si>
  <si>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</si>
  <si>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</si>
  <si>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</si>
  <si>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</si>
  <si>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</si>
  <si>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</si>
  <si>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</si>
  <si>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</si>
  <si>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</si>
  <si>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</si>
  <si>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</si>
  <si>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</si>
  <si>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</si>
  <si>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</si>
  <si>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</si>
  <si>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</si>
  <si>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</si>
  <si>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</si>
  <si>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</si>
  <si>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</si>
  <si>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</si>
  <si>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</si>
  <si>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</si>
  <si>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</si>
  <si>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</si>
  <si>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</si>
  <si>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</si>
  <si>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</si>
  <si>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</si>
  <si>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</si>
  <si>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</si>
  <si>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</si>
  <si>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</si>
  <si>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</si>
  <si>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</si>
  <si>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</si>
  <si>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</si>
  <si>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</si>
  <si>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</si>
  <si>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</si>
  <si>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</si>
  <si>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</si>
  <si>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</si>
  <si>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</si>
  <si>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</si>
  <si>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</si>
  <si>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</si>
  <si>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</si>
  <si>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</si>
  <si>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</si>
  <si>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</si>
  <si>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</si>
  <si>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</si>
  <si>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</si>
  <si>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</si>
  <si>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</si>
  <si>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</si>
  <si>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</si>
  <si>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</si>
  <si>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</si>
  <si>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</si>
  <si>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</si>
  <si>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</si>
  <si>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</si>
  <si>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</si>
  <si>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</si>
  <si>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</si>
  <si>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</si>
  <si>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</si>
  <si>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</si>
  <si>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</si>
  <si>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</si>
  <si>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</si>
  <si>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</si>
  <si>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</si>
  <si>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</si>
  <si>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</si>
  <si>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</si>
  <si>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</si>
  <si>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</si>
  <si>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</si>
  <si>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</si>
  <si>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</si>
  <si>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</si>
  <si>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</si>
  <si>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</si>
  <si>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</si>
  <si>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</si>
  <si>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</si>
  <si>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</si>
  <si>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</si>
  <si>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</si>
  <si>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</si>
  <si>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</si>
  <si>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</si>
  <si>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</si>
  <si>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</si>
  <si>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</si>
  <si>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</si>
  <si>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</si>
  <si>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</si>
  <si>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</si>
  <si>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</si>
  <si>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</si>
  <si>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</si>
  <si>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</si>
  <si>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</si>
  <si>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</si>
  <si>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</si>
  <si>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</si>
  <si>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</si>
  <si>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</si>
  <si>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</si>
  <si>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</si>
  <si>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</si>
  <si>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</si>
  <si>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</si>
  <si>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</si>
  <si>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</si>
  <si>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</si>
  <si>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</si>
  <si>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</si>
  <si>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</si>
  <si>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</si>
  <si>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</si>
  <si>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</si>
  <si>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</si>
  <si>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</si>
  <si>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</si>
  <si>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</si>
  <si>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</si>
  <si>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</si>
  <si>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</si>
  <si>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</si>
  <si>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</si>
  <si>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</si>
  <si>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</si>
  <si>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</si>
  <si>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</si>
  <si>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</si>
  <si>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</si>
  <si>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</si>
  <si>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</si>
  <si>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</si>
  <si>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</si>
  <si>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</si>
  <si>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</si>
  <si>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</si>
  <si>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</si>
  <si>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</si>
  <si>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</si>
  <si>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</si>
  <si>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</si>
  <si>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</si>
  <si>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</si>
  <si>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</si>
  <si>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</si>
  <si>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</si>
  <si>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</si>
  <si>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</si>
  <si>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</si>
  <si>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</si>
  <si>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</si>
  <si>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</si>
  <si>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</si>
  <si>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</si>
  <si>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</si>
  <si>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</si>
  <si>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</si>
  <si>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</si>
  <si>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</si>
  <si>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</si>
  <si>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</si>
  <si>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</si>
  <si>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</si>
  <si>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</si>
  <si>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</si>
  <si>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</si>
  <si>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</si>
  <si>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</si>
  <si>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</si>
  <si>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</si>
  <si>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</si>
  <si>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</si>
  <si>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</si>
  <si>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</si>
  <si>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</si>
  <si>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</si>
  <si>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</si>
  <si>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</si>
  <si>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</si>
  <si>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</si>
  <si>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</si>
  <si>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</si>
  <si>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</si>
  <si>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</si>
  <si>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</si>
  <si>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</si>
  <si>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</si>
  <si>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</si>
  <si>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</si>
  <si>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</si>
  <si>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</si>
  <si>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</si>
  <si>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</si>
  <si>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</si>
  <si>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</si>
  <si>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</si>
  <si>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</si>
  <si>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</si>
  <si>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</si>
  <si>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</si>
  <si>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</si>
  <si>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</si>
  <si>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</si>
  <si>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</si>
  <si>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</si>
  <si>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</si>
  <si>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</si>
  <si>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</si>
  <si>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</si>
  <si>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</si>
  <si>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</si>
  <si>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</si>
  <si>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</si>
  <si>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</si>
  <si>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</si>
  <si>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</si>
  <si>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</si>
  <si>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</si>
  <si>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</si>
  <si>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</si>
  <si>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</si>
  <si>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</si>
  <si>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</si>
  <si>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</si>
  <si>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</si>
  <si>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</si>
  <si>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</si>
  <si>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</si>
  <si>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</si>
  <si>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</si>
  <si>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</si>
  <si>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</si>
  <si>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</si>
  <si>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</si>
  <si>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</si>
  <si>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</si>
  <si>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</si>
  <si>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</si>
  <si>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</si>
  <si>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</si>
  <si>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</si>
  <si>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</si>
  <si>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</si>
  <si>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</si>
  <si>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</si>
  <si>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</si>
  <si>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</si>
  <si>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</si>
  <si>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</si>
  <si>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</si>
  <si>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</si>
  <si>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</si>
  <si>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</si>
  <si>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</si>
  <si>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</si>
  <si>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</si>
  <si>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</si>
  <si>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</si>
  <si>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</si>
  <si>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</si>
  <si>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</si>
  <si>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</si>
  <si>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</si>
  <si>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</si>
  <si>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</si>
  <si>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</si>
  <si>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</si>
  <si>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</si>
  <si>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</si>
  <si>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</si>
  <si>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</si>
  <si>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</si>
  <si>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</si>
  <si>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</si>
  <si>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</si>
  <si>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</si>
  <si>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</si>
  <si>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</si>
  <si>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</si>
  <si>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</si>
  <si>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</si>
  <si>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</si>
  <si>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</si>
  <si>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</si>
  <si>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</si>
  <si>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</si>
  <si>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</si>
  <si>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</si>
  <si>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</si>
  <si>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</si>
  <si>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</si>
  <si>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</si>
  <si>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</si>
  <si>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</si>
  <si>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</si>
  <si>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</si>
  <si>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</si>
  <si>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</si>
  <si>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</si>
  <si>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</si>
  <si>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</si>
  <si>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</si>
  <si>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</si>
  <si>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</si>
  <si>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</si>
  <si>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</si>
  <si>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</si>
  <si>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</si>
  <si>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</si>
  <si>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</si>
  <si>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</si>
  <si>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</si>
  <si>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</si>
  <si>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</si>
  <si>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</si>
  <si>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</si>
  <si>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</si>
  <si>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</si>
  <si>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</si>
  <si>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</si>
  <si>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</si>
  <si>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</si>
  <si>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</si>
  <si>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</si>
  <si>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</si>
  <si>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</si>
  <si>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</si>
  <si>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</si>
  <si>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</si>
  <si>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</si>
  <si>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</si>
  <si>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</si>
  <si>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</si>
  <si>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</si>
  <si>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</si>
  <si>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</si>
  <si>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</si>
  <si>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</si>
  <si>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</si>
  <si>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</si>
  <si>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</si>
  <si>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</si>
  <si>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</si>
  <si>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</si>
  <si>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</si>
  <si>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</si>
  <si>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</si>
  <si>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</si>
  <si>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</si>
  <si>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</si>
  <si>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</si>
  <si>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</si>
  <si>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</si>
  <si>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</si>
  <si>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</si>
  <si>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</si>
  <si>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</si>
  <si>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</si>
  <si>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</si>
  <si>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</si>
  <si>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</si>
  <si>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</si>
  <si>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</si>
  <si>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</si>
  <si>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</si>
  <si>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</si>
  <si>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</si>
  <si>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</si>
  <si>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</si>
  <si>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</si>
  <si>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</si>
  <si>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</si>
  <si>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</si>
  <si>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</si>
  <si>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</si>
  <si>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</si>
  <si>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</si>
  <si>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</si>
  <si>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</si>
  <si>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</si>
  <si>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</si>
  <si>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</si>
  <si>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</si>
  <si>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</si>
  <si>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</si>
  <si>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</si>
  <si>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</si>
  <si>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</si>
  <si>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</si>
  <si>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</si>
  <si>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</si>
  <si>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</si>
  <si>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</si>
  <si>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</si>
  <si>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</si>
  <si>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</si>
  <si>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</si>
  <si>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</si>
  <si>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</si>
  <si>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</si>
  <si>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</si>
  <si>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</si>
  <si>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</si>
  <si>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</si>
  <si>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</si>
  <si>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</si>
  <si>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</si>
  <si>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</si>
  <si>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</si>
  <si>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</si>
  <si>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</si>
  <si>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</si>
  <si>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</si>
  <si>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</si>
  <si>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</si>
  <si>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</si>
  <si>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</si>
  <si>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</si>
  <si>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</si>
  <si>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</si>
  <si>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</si>
  <si>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</si>
  <si>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</si>
  <si>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</si>
  <si>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</si>
  <si>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</si>
  <si>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</si>
  <si>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</si>
  <si>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</si>
  <si>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</si>
  <si>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</si>
  <si>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</si>
  <si>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</si>
  <si>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</si>
  <si>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</si>
  <si>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</si>
  <si>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</si>
  <si>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</si>
  <si>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</si>
  <si>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</si>
  <si>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</si>
  <si>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</si>
  <si>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</si>
  <si>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</si>
  <si>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</si>
  <si>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</si>
  <si>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</si>
  <si>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</si>
  <si>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</si>
  <si>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</si>
  <si>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</si>
  <si>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</si>
  <si>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</si>
  <si>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</si>
  <si>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</si>
  <si>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</si>
  <si>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</si>
  <si>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</si>
  <si>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</si>
  <si>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</si>
  <si>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</si>
  <si>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</si>
  <si>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</si>
  <si>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</si>
  <si>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</si>
  <si>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</si>
  <si>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</si>
  <si>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</si>
  <si>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</si>
  <si>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</si>
  <si>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</si>
  <si>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</si>
  <si>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</si>
  <si>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</si>
  <si>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</si>
  <si>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</si>
  <si>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</si>
  <si>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</si>
  <si>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</si>
  <si>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</si>
  <si>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</si>
  <si>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</si>
  <si>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</si>
  <si>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</si>
  <si>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</si>
  <si>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</si>
  <si>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</si>
  <si>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</si>
  <si>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</si>
  <si>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</si>
  <si>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</si>
  <si>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</si>
  <si>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</si>
  <si>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</si>
  <si>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</si>
  <si>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</si>
  <si>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</si>
  <si>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</si>
  <si>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</si>
  <si>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</si>
  <si>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</si>
  <si>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</si>
  <si>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</si>
  <si>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</si>
  <si>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</si>
  <si>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</si>
  <si>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</si>
  <si>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</si>
  <si>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</si>
  <si>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</si>
  <si>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</si>
  <si>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</si>
  <si>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</si>
  <si>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</si>
  <si>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</si>
  <si>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</si>
  <si>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</si>
  <si>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</si>
  <si>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</si>
  <si>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</si>
  <si>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</si>
  <si>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</si>
  <si>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</si>
  <si>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</si>
  <si>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</si>
  <si>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</si>
  <si>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</si>
  <si>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</si>
  <si>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</si>
  <si>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</si>
  <si>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</si>
  <si>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</si>
  <si>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</si>
  <si>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</si>
  <si>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</si>
  <si>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</si>
  <si>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</si>
  <si>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</si>
  <si>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</si>
  <si>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</si>
  <si>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</si>
  <si>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</si>
  <si>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</si>
  <si>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</si>
  <si>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</si>
  <si>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</si>
  <si>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</si>
  <si>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</si>
  <si>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</si>
  <si>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</si>
  <si>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</si>
  <si>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</si>
  <si>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</si>
  <si>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</si>
  <si>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</si>
  <si>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</si>
  <si>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</si>
  <si>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</si>
  <si>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</si>
  <si>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</si>
  <si>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</si>
  <si>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</si>
  <si>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</si>
  <si>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</si>
  <si>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</si>
  <si>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</si>
  <si>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</si>
  <si>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</si>
  <si>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</si>
  <si>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</si>
  <si>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</si>
  <si>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</si>
  <si>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</si>
  <si>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</si>
  <si>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</si>
  <si>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</si>
  <si>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</si>
  <si>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</si>
  <si>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</si>
  <si>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</si>
  <si>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</si>
  <si>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</si>
  <si>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</si>
  <si>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</si>
  <si>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</si>
  <si>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</si>
  <si>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</si>
  <si>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</si>
  <si>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</si>
  <si>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</si>
  <si>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</si>
  <si>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</si>
  <si>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</si>
  <si>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</si>
  <si>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</si>
  <si>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</si>
  <si>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</si>
  <si>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</si>
  <si>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</si>
  <si>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</si>
  <si>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</si>
  <si>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</si>
  <si>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</si>
  <si>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</si>
  <si>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</si>
  <si>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</si>
  <si>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</si>
  <si>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</si>
  <si>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</si>
  <si>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</si>
  <si>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</si>
  <si>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</si>
  <si>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</si>
  <si>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</si>
  <si>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</si>
  <si>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</si>
  <si>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</si>
  <si>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</si>
  <si>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</si>
  <si>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</si>
  <si>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</si>
  <si>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</si>
  <si>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</si>
  <si>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</si>
  <si>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</si>
  <si>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</si>
  <si>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</si>
  <si>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</si>
  <si>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</si>
  <si>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</si>
  <si>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</si>
  <si>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</si>
  <si>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</si>
  <si>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</si>
  <si>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</si>
  <si>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</si>
  <si>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</si>
  <si>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</si>
  <si>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</si>
  <si>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</si>
  <si>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</si>
  <si>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</si>
  <si>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</si>
  <si>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</si>
  <si>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</si>
  <si>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</si>
  <si>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</si>
  <si>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</si>
  <si>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</si>
  <si>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</si>
  <si>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</si>
  <si>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</si>
  <si>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</si>
  <si>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</si>
  <si>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</si>
  <si>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</si>
  <si>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</si>
  <si>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</si>
  <si>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</si>
  <si>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</si>
  <si>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</si>
  <si>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</si>
  <si>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</si>
  <si>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</si>
  <si>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</si>
  <si>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</si>
  <si>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</si>
  <si>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</si>
  <si>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</si>
  <si>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</si>
  <si>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</si>
  <si>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</si>
  <si>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</si>
  <si>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</si>
  <si>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</si>
  <si>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</si>
  <si>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</si>
  <si>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</si>
  <si>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</si>
  <si>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</si>
  <si>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</si>
  <si>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</si>
  <si>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</si>
  <si>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</si>
  <si>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</si>
  <si>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</si>
  <si>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</si>
  <si>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</si>
  <si>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</si>
  <si>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</si>
  <si>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</si>
  <si>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</si>
  <si>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</si>
  <si>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</si>
  <si>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</si>
  <si>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</si>
  <si>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</si>
  <si>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</si>
  <si>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</si>
  <si>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</si>
  <si>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</si>
  <si>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</si>
  <si>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</si>
  <si>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</si>
  <si>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</si>
  <si>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</si>
  <si>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</si>
  <si>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</si>
  <si>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</si>
  <si>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</si>
  <si>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</si>
  <si>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</si>
  <si>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</si>
  <si>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</si>
  <si>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</si>
  <si>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</si>
  <si>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</si>
  <si>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</si>
  <si>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</si>
  <si>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</si>
  <si>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</si>
  <si>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</si>
  <si>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</si>
  <si>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</si>
  <si>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</si>
  <si>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</si>
  <si>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</si>
  <si>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</si>
  <si>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</si>
  <si>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</si>
  <si>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</si>
  <si>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</si>
  <si>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</si>
  <si>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</si>
  <si>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</si>
  <si>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</si>
  <si>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</si>
  <si>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</si>
  <si>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</si>
  <si>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</si>
  <si>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</si>
  <si>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</si>
  <si>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</si>
  <si>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</si>
  <si>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</si>
  <si>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</si>
  <si>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</si>
  <si>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</si>
  <si>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</si>
  <si>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</si>
  <si>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</si>
  <si>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</si>
  <si>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</si>
  <si>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</si>
  <si>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</si>
  <si>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</si>
  <si>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</si>
  <si>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</si>
  <si>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</si>
  <si>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</si>
  <si>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</si>
  <si>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</si>
  <si>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</si>
  <si>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</si>
  <si>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</si>
  <si>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</si>
  <si>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</si>
  <si>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</si>
  <si>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</si>
  <si>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</si>
  <si>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</si>
  <si>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</si>
  <si>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</si>
  <si>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</si>
  <si>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</si>
  <si>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</si>
  <si>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</si>
  <si>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</si>
  <si>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</si>
  <si>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</si>
  <si>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</si>
  <si>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</si>
  <si>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</si>
  <si>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</si>
  <si>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</si>
  <si>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</si>
  <si>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</si>
  <si>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</si>
  <si>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</si>
  <si>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</si>
  <si>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</si>
  <si>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</si>
  <si>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</si>
  <si>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</si>
  <si>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</si>
  <si>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</si>
  <si>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</si>
  <si>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</si>
  <si>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</si>
  <si>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</si>
  <si>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</si>
  <si>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</si>
  <si>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</si>
  <si>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</si>
  <si>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</si>
  <si>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</si>
  <si>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</si>
  <si>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</si>
  <si>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</si>
  <si>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</si>
  <si>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</si>
  <si>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</si>
  <si>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</si>
  <si>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</si>
  <si>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</si>
  <si>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</si>
  <si>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</si>
  <si>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</si>
  <si>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</si>
  <si>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</si>
  <si>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</si>
  <si>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</si>
  <si>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</si>
  <si>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</si>
  <si>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</si>
  <si>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</si>
  <si>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</si>
  <si>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</si>
  <si>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</si>
  <si>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</si>
  <si>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</si>
  <si>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</si>
  <si>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</si>
  <si>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</si>
  <si>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</si>
  <si>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</si>
  <si>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</si>
  <si>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</si>
  <si>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</si>
  <si>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</si>
  <si>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</si>
  <si>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</si>
  <si>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</si>
  <si>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</si>
  <si>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</si>
  <si>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</si>
  <si>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</si>
  <si>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</si>
  <si>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</si>
  <si>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</si>
  <si>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</si>
  <si>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</si>
  <si>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</si>
  <si>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</si>
  <si>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</si>
  <si>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</si>
  <si>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</si>
  <si>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</si>
  <si>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</si>
  <si>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</si>
  <si>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</si>
  <si>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</si>
  <si>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</si>
  <si>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</si>
  <si>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</si>
  <si>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</si>
  <si>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</si>
  <si>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</si>
  <si>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</si>
  <si>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</si>
  <si>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</si>
  <si>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</si>
  <si>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</si>
  <si>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</si>
  <si>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</si>
  <si>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</si>
  <si>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</si>
  <si>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</si>
  <si>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</si>
  <si>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</si>
  <si>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</si>
  <si>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</si>
  <si>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</si>
  <si>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</si>
  <si>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</si>
  <si>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</si>
  <si>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</si>
  <si>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</si>
  <si>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</si>
  <si>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</si>
  <si>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</si>
  <si>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</si>
  <si>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</si>
  <si>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</si>
  <si>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</si>
  <si>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</si>
  <si>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</si>
  <si>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</si>
  <si>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</si>
  <si>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</si>
  <si>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</si>
  <si>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</si>
  <si>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</si>
  <si>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</si>
  <si>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</si>
  <si>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</si>
  <si>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</si>
  <si>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</si>
  <si>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</si>
  <si>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</si>
  <si>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</si>
  <si>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</si>
  <si>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</si>
  <si>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</si>
  <si>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</si>
  <si>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</si>
  <si>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</si>
  <si>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</si>
  <si>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</si>
  <si>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</si>
  <si>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</si>
  <si>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</si>
  <si>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</si>
  <si>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</si>
  <si>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</si>
  <si>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</si>
  <si>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</si>
  <si>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</si>
  <si>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</si>
  <si>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</si>
  <si>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</si>
  <si>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</si>
  <si>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</si>
  <si>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</si>
  <si>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</si>
  <si>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</si>
  <si>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</si>
  <si>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</si>
  <si>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</si>
  <si>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</si>
  <si>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</si>
  <si>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</si>
  <si>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</si>
  <si>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</si>
  <si>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</si>
  <si>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</si>
  <si>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</si>
  <si>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</si>
  <si>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</si>
  <si>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</si>
  <si>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</si>
  <si>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</si>
  <si>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</si>
  <si>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</si>
  <si>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</si>
  <si>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</si>
  <si>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</si>
  <si>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</si>
  <si>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</si>
  <si>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</si>
  <si>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</si>
  <si>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</si>
  <si>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</si>
  <si>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</si>
  <si>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</si>
  <si>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</si>
  <si>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</si>
  <si>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</si>
  <si>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</si>
  <si>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</si>
  <si>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</si>
  <si>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</si>
  <si>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</si>
  <si>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</si>
  <si>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</si>
  <si>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</si>
  <si>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</si>
  <si>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</si>
  <si>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</si>
  <si>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</si>
  <si>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</si>
  <si>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</si>
  <si>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</si>
  <si>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</si>
  <si>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</si>
  <si>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</si>
  <si>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</si>
  <si>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</si>
  <si>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</si>
  <si>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</si>
  <si>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</si>
  <si>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</si>
  <si>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</si>
  <si>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</si>
  <si>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</si>
  <si>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</si>
  <si>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</si>
  <si>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</si>
  <si>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</si>
  <si>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</si>
  <si>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</si>
  <si>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</si>
  <si>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</si>
  <si>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</si>
  <si>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</si>
  <si>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</si>
  <si>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</si>
  <si>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</si>
  <si>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</si>
  <si>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</si>
  <si>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</si>
  <si>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</si>
  <si>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</si>
  <si>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</si>
  <si>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</si>
  <si>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</si>
  <si>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</si>
  <si>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</si>
  <si>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</si>
  <si>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</si>
  <si>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</si>
  <si>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</si>
  <si>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</si>
  <si>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</si>
  <si>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</si>
  <si>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</si>
  <si>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</si>
  <si>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</si>
  <si>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</si>
  <si>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</si>
  <si>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</si>
  <si>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</si>
  <si>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</si>
  <si>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</si>
  <si>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</si>
  <si>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</si>
  <si>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</si>
  <si>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</si>
  <si>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</si>
  <si>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</si>
  <si>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</si>
  <si>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</si>
  <si>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</si>
  <si>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</si>
  <si>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</si>
  <si>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</si>
  <si>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</si>
  <si>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</si>
  <si>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</si>
  <si>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</si>
  <si>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</si>
  <si>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</si>
  <si>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</si>
  <si>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</si>
  <si>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</si>
  <si>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</si>
  <si>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</si>
  <si>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</si>
  <si>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</si>
  <si>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</si>
  <si>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</si>
  <si>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</si>
  <si>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</si>
  <si>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</si>
  <si>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</si>
  <si>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</si>
  <si>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</si>
  <si>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</si>
  <si>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</si>
  <si>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</si>
  <si>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</si>
  <si>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</si>
  <si>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</si>
  <si>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</si>
  <si>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</si>
  <si>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</si>
  <si>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</si>
  <si>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</si>
  <si>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</si>
  <si>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</si>
  <si>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</si>
  <si>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</si>
  <si>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</si>
  <si>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</si>
  <si>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</si>
  <si>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</si>
  <si>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</si>
  <si>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</si>
  <si>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</si>
  <si>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</si>
  <si>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</si>
  <si>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</si>
  <si>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</si>
  <si>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</si>
  <si>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</si>
  <si>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</si>
  <si>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</si>
  <si>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</si>
  <si>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</si>
  <si>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</si>
  <si>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</si>
  <si>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</si>
  <si>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</si>
  <si>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</si>
  <si>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</si>
  <si>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</si>
  <si>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</si>
  <si>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</si>
  <si>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</si>
  <si>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</si>
  <si>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</si>
  <si>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</si>
  <si>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</si>
  <si>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</si>
  <si>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</si>
  <si>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</si>
  <si>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</si>
  <si>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</si>
  <si>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</si>
  <si>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</si>
  <si>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</si>
  <si>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</si>
  <si>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</si>
  <si>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</si>
  <si>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</si>
  <si>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</si>
  <si>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</si>
  <si>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</si>
  <si>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</si>
  <si>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</si>
  <si>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</si>
  <si>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</si>
  <si>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</si>
  <si>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</si>
  <si>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</si>
  <si>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</si>
  <si>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</si>
  <si>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</si>
  <si>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</si>
  <si>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</si>
  <si>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</si>
  <si>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</si>
  <si>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</si>
  <si>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</si>
  <si>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</si>
  <si>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</si>
  <si>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</si>
  <si>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</si>
  <si>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</si>
  <si>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</si>
  <si>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</si>
  <si>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</si>
  <si>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</si>
  <si>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</si>
  <si>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</si>
  <si>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</si>
  <si>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</si>
  <si>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</si>
  <si>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</si>
  <si>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</si>
  <si>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</si>
  <si>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</si>
  <si>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</si>
  <si>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</si>
  <si>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</si>
  <si>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</si>
  <si>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</si>
  <si>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</si>
  <si>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</si>
  <si>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</si>
  <si>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</si>
  <si>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</si>
  <si>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</si>
  <si>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</si>
  <si>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</si>
  <si>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</si>
  <si>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</si>
  <si>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</si>
  <si>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</si>
  <si>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</si>
  <si>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</si>
  <si>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</si>
  <si>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</si>
  <si>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</si>
  <si>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</si>
  <si>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</si>
  <si>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</si>
  <si>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</si>
  <si>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</si>
  <si>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</si>
  <si>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</si>
  <si>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</si>
  <si>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</si>
  <si>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</si>
  <si>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</si>
  <si>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</si>
  <si>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</si>
  <si>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</si>
  <si>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</si>
  <si>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</si>
  <si>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</si>
  <si>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</si>
  <si>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</si>
  <si>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</si>
  <si>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</si>
  <si>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</si>
  <si>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</si>
  <si>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</si>
  <si>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</si>
  <si>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</si>
  <si>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</si>
  <si>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</si>
  <si>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</si>
  <si>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</si>
  <si>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</si>
  <si>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</si>
  <si>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</si>
  <si>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</si>
  <si>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</si>
  <si>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</si>
  <si>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</si>
  <si>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</si>
  <si>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</si>
  <si>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</si>
  <si>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</si>
  <si>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</si>
  <si>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</si>
  <si>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</si>
  <si>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</si>
  <si>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</si>
  <si>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</si>
  <si>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</si>
  <si>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</si>
  <si>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</si>
  <si>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</si>
  <si>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</si>
  <si>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</si>
  <si>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</si>
  <si>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</si>
  <si>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</si>
  <si>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</si>
  <si>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</si>
  <si>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</si>
  <si>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</si>
  <si>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</si>
  <si>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</si>
  <si>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</si>
  <si>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</si>
  <si>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</si>
  <si>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</si>
  <si>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</si>
  <si>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</si>
  <si>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</si>
  <si>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</si>
  <si>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</si>
  <si>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</si>
  <si>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</si>
  <si>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</si>
  <si>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</si>
  <si>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</si>
  <si>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</si>
  <si>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</si>
  <si>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</si>
  <si>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</si>
  <si>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</si>
  <si>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</si>
  <si>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</si>
  <si>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</si>
  <si>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</si>
  <si>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</si>
  <si>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</si>
  <si>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</si>
  <si>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</si>
  <si>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</si>
  <si>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</si>
  <si>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</si>
  <si>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</si>
  <si>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</si>
  <si>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</si>
  <si>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</si>
  <si>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</si>
  <si>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</si>
  <si>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</si>
  <si>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</si>
  <si>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</si>
  <si>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</si>
  <si>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</si>
  <si>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</si>
  <si>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</si>
  <si>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</si>
  <si>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</si>
  <si>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</si>
  <si>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</si>
  <si>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</si>
  <si>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</si>
  <si>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</si>
  <si>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</si>
  <si>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</si>
  <si>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</si>
  <si>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</si>
  <si>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</si>
  <si>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</si>
  <si>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</si>
  <si>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</si>
  <si>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</si>
  <si>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</si>
  <si>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</si>
  <si>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</si>
  <si>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</si>
  <si>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</si>
  <si>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</si>
  <si>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</si>
  <si>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</si>
  <si>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</si>
  <si>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</si>
  <si>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</si>
  <si>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</si>
  <si>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</si>
  <si>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</si>
  <si>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</si>
  <si>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</si>
  <si>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</si>
  <si>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</si>
  <si>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</si>
  <si>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</si>
  <si>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</si>
  <si>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</si>
  <si>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</si>
  <si>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</si>
  <si>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</si>
  <si>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</si>
  <si>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</si>
  <si>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</si>
  <si>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</si>
  <si>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</si>
  <si>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</si>
  <si>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</si>
  <si>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</si>
  <si>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</si>
  <si>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</si>
  <si>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</si>
  <si>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</si>
  <si>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</si>
  <si>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</si>
  <si>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</si>
  <si>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</si>
  <si>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</si>
  <si>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</si>
  <si>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</si>
  <si>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</si>
  <si>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</si>
  <si>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</si>
  <si>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</si>
  <si>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</si>
  <si>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</si>
  <si>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</si>
  <si>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</si>
  <si>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</si>
  <si>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</si>
  <si>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</si>
  <si>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</si>
  <si>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</si>
  <si>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</si>
  <si>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</si>
  <si>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</si>
  <si>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</si>
  <si>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</si>
  <si>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</si>
  <si>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</si>
  <si>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</si>
  <si>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</si>
  <si>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</si>
  <si>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</si>
  <si>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</si>
  <si>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</si>
  <si>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</si>
  <si>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</si>
  <si>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</si>
  <si>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</si>
  <si>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</si>
  <si>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</si>
  <si>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</si>
  <si>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</si>
  <si>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</si>
  <si>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</si>
  <si>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</si>
  <si>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</si>
  <si>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</si>
  <si>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</si>
  <si>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</si>
  <si>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</si>
  <si>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</si>
  <si>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</si>
  <si>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</si>
  <si>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</si>
  <si>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</si>
  <si>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</si>
  <si>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</si>
  <si>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</si>
  <si>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</si>
  <si>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</si>
  <si>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</si>
  <si>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</si>
  <si>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</si>
  <si>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</si>
  <si>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</si>
  <si>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</si>
  <si>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</si>
  <si>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</si>
  <si>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</si>
  <si>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</si>
  <si>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</si>
  <si>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</si>
  <si>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</si>
  <si>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</si>
  <si>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</si>
  <si>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</si>
  <si>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</si>
  <si>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</si>
  <si>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</si>
  <si>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</si>
  <si>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</si>
  <si>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</si>
  <si>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</si>
  <si>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</si>
  <si>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</si>
  <si>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</si>
  <si>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</si>
  <si>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</si>
  <si>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</si>
  <si>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</si>
  <si>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</si>
  <si>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</si>
  <si>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</si>
  <si>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</si>
  <si>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</si>
  <si>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</si>
  <si>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</si>
  <si>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</si>
  <si>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</si>
  <si>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</si>
  <si>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</si>
  <si>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</si>
  <si>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</si>
  <si>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</si>
  <si>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</si>
  <si>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</si>
  <si>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</si>
  <si>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</si>
  <si>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</si>
  <si>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</si>
  <si>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</si>
  <si>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</si>
  <si>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</si>
  <si>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</si>
  <si>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</si>
  <si>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</si>
  <si>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</si>
  <si>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</si>
  <si>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</si>
  <si>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</si>
  <si>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</si>
  <si>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</si>
  <si>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</si>
  <si>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</si>
  <si>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</si>
  <si>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</si>
  <si>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</si>
  <si>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</si>
  <si>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</si>
  <si>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</si>
  <si>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</si>
  <si>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</si>
  <si>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</si>
  <si>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</si>
  <si>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</si>
  <si>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</si>
  <si>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</si>
  <si>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</si>
  <si>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</si>
  <si>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</si>
  <si>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</si>
  <si>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</si>
  <si>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</si>
  <si>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</si>
  <si>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</si>
  <si>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</si>
  <si>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</si>
  <si>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</si>
  <si>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</si>
  <si>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</si>
  <si>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</si>
  <si>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</si>
  <si>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</si>
  <si>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</si>
  <si>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</si>
  <si>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</si>
  <si>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</si>
  <si>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</si>
  <si>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</si>
  <si>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</si>
  <si>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</si>
  <si>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</si>
  <si>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</si>
  <si>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</si>
  <si>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</si>
  <si>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</si>
  <si>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</si>
  <si>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</si>
  <si>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</si>
  <si>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</si>
  <si>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</si>
  <si>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</si>
  <si>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</si>
  <si>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</si>
  <si>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</si>
  <si>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</si>
  <si>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</si>
  <si>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</si>
  <si>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</si>
  <si>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</si>
  <si>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</si>
  <si>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</si>
  <si>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</si>
  <si>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</si>
  <si>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</si>
  <si>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</si>
  <si>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</si>
  <si>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</si>
  <si>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</si>
  <si>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</si>
  <si>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</si>
  <si>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</si>
  <si>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</si>
  <si>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</si>
  <si>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</si>
  <si>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</si>
  <si>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</si>
  <si>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</si>
  <si>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</si>
  <si>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</si>
  <si>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</si>
  <si>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</si>
  <si>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</si>
  <si>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</si>
  <si>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</si>
  <si>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</si>
  <si>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</si>
  <si>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</si>
  <si>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</si>
  <si>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</si>
  <si>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</si>
  <si>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</si>
  <si>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</si>
  <si>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</si>
  <si>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</si>
  <si>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</si>
  <si>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</si>
  <si>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</si>
  <si>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</si>
  <si>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</si>
  <si>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</si>
  <si>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</si>
  <si>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</si>
  <si>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</si>
  <si>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</si>
  <si>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</si>
  <si>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</si>
  <si>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</si>
  <si>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</si>
  <si>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</si>
  <si>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</si>
  <si>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</si>
  <si>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</si>
  <si>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</si>
  <si>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</si>
  <si>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</si>
  <si>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</si>
  <si>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</si>
  <si>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</si>
  <si>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</si>
  <si>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</si>
  <si>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</si>
  <si>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</si>
  <si>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</si>
  <si>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</si>
  <si>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</si>
  <si>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</si>
  <si>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</si>
  <si>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</si>
  <si>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</si>
  <si>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</si>
  <si>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</si>
  <si>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</si>
  <si>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</si>
  <si>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</si>
  <si>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</si>
  <si>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</si>
  <si>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</si>
  <si>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</si>
  <si>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</si>
  <si>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</si>
  <si>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</si>
  <si>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</si>
  <si>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</si>
  <si>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</si>
  <si>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</si>
  <si>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</si>
  <si>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</si>
  <si>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</si>
  <si>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</si>
  <si>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</si>
  <si>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</si>
  <si>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</si>
  <si>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</si>
  <si>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</si>
  <si>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</si>
  <si>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</si>
  <si>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</si>
  <si>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</si>
  <si>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</si>
  <si>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</si>
  <si>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</si>
  <si>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</si>
  <si>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</si>
  <si>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</si>
  <si>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</si>
  <si>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</si>
  <si>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</si>
  <si>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</si>
  <si>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</si>
  <si>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</si>
  <si>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</si>
  <si>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</si>
  <si>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</si>
  <si>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</si>
  <si>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</si>
  <si>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</si>
  <si>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</si>
  <si>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</si>
  <si>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</si>
  <si>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</si>
  <si>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</si>
  <si>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</si>
  <si>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</si>
  <si>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</si>
  <si>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</si>
  <si>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</si>
  <si>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</si>
  <si>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</si>
  <si>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</si>
  <si>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</si>
  <si>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</si>
  <si>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</si>
  <si>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</si>
  <si>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</si>
  <si>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</si>
  <si>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</si>
  <si>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</si>
  <si>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</si>
  <si>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</si>
  <si>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</si>
  <si>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</si>
  <si>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</si>
  <si>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</si>
  <si>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</si>
  <si>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</si>
  <si>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</si>
  <si>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</si>
  <si>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</si>
  <si>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</si>
  <si>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</si>
  <si>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</si>
  <si>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</si>
  <si>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</si>
  <si>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</si>
  <si>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</si>
  <si>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</si>
  <si>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</si>
  <si>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</si>
  <si>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</si>
  <si>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</si>
  <si>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</si>
  <si>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</si>
  <si>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</si>
  <si>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</si>
  <si>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</si>
  <si>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</si>
  <si>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</si>
  <si>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</si>
  <si>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</si>
  <si>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</si>
  <si>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</si>
  <si>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</si>
  <si>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</si>
  <si>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</si>
  <si>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</si>
  <si>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</si>
  <si>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</si>
  <si>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</si>
  <si>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</si>
  <si>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</si>
  <si>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</si>
  <si>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</si>
  <si>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</si>
  <si>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</si>
  <si>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</si>
  <si>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</si>
  <si>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</si>
  <si>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</si>
  <si>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</si>
  <si>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</si>
  <si>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</si>
  <si>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</si>
  <si>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</si>
  <si>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</si>
  <si>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</si>
  <si>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</si>
  <si>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</si>
  <si>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</si>
  <si>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</si>
  <si>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</si>
  <si>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</si>
  <si>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</si>
  <si>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</si>
  <si>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</si>
  <si>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</si>
  <si>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</si>
  <si>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</si>
  <si>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</si>
  <si>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</si>
  <si>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</si>
  <si>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</si>
  <si>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</si>
  <si>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</si>
  <si>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</si>
  <si>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</si>
  <si>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</si>
  <si>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</si>
  <si>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</si>
  <si>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</si>
  <si>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</si>
  <si>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</si>
  <si>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</si>
  <si>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</si>
  <si>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</si>
  <si>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</si>
  <si>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</si>
  <si>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</si>
  <si>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</si>
  <si>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</si>
  <si>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</si>
  <si>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</si>
  <si>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</si>
  <si>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</si>
  <si>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</si>
  <si>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</si>
  <si>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</si>
  <si>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</si>
  <si>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</si>
  <si>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</si>
  <si>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</si>
  <si>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</si>
  <si>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</si>
  <si>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</si>
  <si>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</si>
  <si>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</si>
  <si>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</si>
  <si>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</si>
  <si>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</si>
  <si>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</si>
  <si>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</si>
  <si>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</si>
  <si>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</si>
  <si>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</si>
  <si>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</si>
  <si>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</si>
  <si>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</si>
  <si>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</si>
  <si>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</si>
  <si>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</si>
  <si>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</si>
  <si>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</si>
  <si>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</si>
  <si>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</si>
  <si>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</si>
  <si>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</si>
  <si>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</si>
  <si>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</si>
  <si>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</si>
  <si>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</si>
  <si>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</si>
  <si>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</si>
  <si>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</si>
  <si>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</si>
  <si>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</si>
  <si>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</si>
  <si>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</si>
  <si>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</si>
  <si>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</si>
  <si>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</si>
  <si>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</si>
  <si>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</si>
  <si>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</si>
  <si>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</si>
  <si>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</si>
  <si>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</si>
  <si>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</si>
  <si>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</si>
  <si>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</si>
  <si>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</si>
  <si>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</si>
  <si>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</si>
  <si>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</si>
  <si>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</si>
  <si>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</si>
  <si>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</si>
  <si>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</si>
  <si>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</si>
  <si>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</si>
  <si>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</si>
  <si>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</si>
  <si>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</si>
  <si>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</si>
  <si>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</si>
  <si>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</si>
  <si>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</si>
  <si>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</si>
  <si>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</si>
  <si>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</si>
  <si>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</si>
  <si>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</si>
  <si>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</si>
  <si>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</si>
  <si>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</si>
  <si>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</si>
  <si>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</si>
  <si>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</si>
  <si>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</si>
  <si>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</si>
  <si>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</si>
  <si>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</si>
  <si>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</si>
  <si>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</si>
  <si>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</si>
  <si>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</si>
  <si>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</si>
  <si>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</si>
  <si>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</si>
  <si>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</si>
  <si>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</si>
  <si>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</si>
  <si>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</si>
  <si>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</si>
  <si>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</si>
  <si>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</si>
  <si>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</si>
  <si>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</si>
  <si>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</si>
  <si>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</si>
  <si>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</si>
  <si>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</si>
  <si>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</si>
  <si>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</si>
  <si>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</si>
  <si>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</si>
  <si>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</si>
  <si>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</si>
  <si>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</si>
  <si>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</si>
  <si>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</si>
  <si>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</si>
  <si>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</si>
  <si>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</si>
  <si>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</si>
  <si>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</si>
  <si>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</si>
  <si>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</si>
  <si>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</si>
  <si>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</si>
  <si>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</si>
  <si>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</si>
  <si>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</si>
  <si>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</si>
  <si>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</si>
  <si>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</si>
  <si>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</si>
  <si>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</si>
  <si>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</si>
  <si>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</si>
  <si>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</si>
  <si>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</si>
  <si>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</si>
  <si>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</si>
  <si>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</si>
  <si>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</si>
  <si>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</si>
  <si>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</si>
  <si>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</si>
  <si>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</si>
  <si>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</si>
  <si>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</si>
  <si>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</si>
  <si>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</si>
  <si>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</si>
  <si>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</si>
  <si>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</si>
  <si>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</si>
  <si>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</si>
  <si>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</si>
  <si>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</si>
  <si>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</si>
  <si>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</si>
  <si>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</si>
  <si>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</si>
  <si>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</si>
  <si>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</si>
  <si>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</si>
  <si>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</si>
  <si>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</si>
  <si>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</si>
  <si>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</si>
  <si>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</si>
  <si>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</si>
  <si>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</si>
  <si>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</si>
  <si>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</si>
  <si>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</si>
  <si>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</si>
  <si>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</si>
  <si>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</si>
  <si>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</si>
  <si>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</si>
  <si>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</si>
  <si>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</si>
  <si>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</si>
  <si>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</si>
  <si>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</si>
  <si>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</si>
  <si>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</si>
  <si>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</si>
  <si>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</si>
  <si>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</si>
  <si>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</si>
  <si>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</si>
  <si>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</si>
  <si>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</si>
  <si>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</si>
  <si>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</si>
  <si>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</si>
  <si>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</si>
  <si>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</si>
  <si>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</si>
  <si>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</si>
  <si>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</si>
  <si>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</si>
  <si>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</si>
  <si>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</si>
  <si>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</si>
  <si>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</si>
  <si>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</si>
  <si>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</si>
  <si>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</si>
  <si>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</si>
  <si>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</si>
  <si>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</si>
  <si>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</si>
  <si>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</si>
  <si>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</si>
  <si>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</si>
  <si>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</si>
  <si>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</si>
  <si>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</si>
  <si>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</si>
  <si>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</si>
  <si>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</si>
  <si>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</si>
  <si>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</si>
  <si>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</si>
  <si>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</si>
  <si>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</si>
  <si>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</si>
  <si>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</si>
  <si>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</si>
  <si>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</si>
  <si>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</si>
  <si>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</si>
  <si>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</si>
  <si>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</si>
  <si>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</si>
  <si>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</si>
  <si>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</si>
  <si>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</si>
  <si>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</si>
  <si>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</si>
  <si>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</si>
  <si>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</si>
  <si>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</si>
  <si>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</si>
  <si>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</si>
  <si>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</si>
  <si>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</si>
  <si>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</si>
  <si>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</si>
  <si>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</si>
  <si>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</si>
  <si>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</si>
  <si>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</si>
  <si>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</si>
  <si>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</si>
  <si>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</si>
  <si>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</si>
  <si>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</si>
  <si>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</si>
  <si>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</si>
  <si>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</si>
  <si>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</si>
  <si>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</si>
  <si>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</si>
  <si>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</si>
  <si>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</si>
  <si>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</si>
  <si>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</si>
  <si>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</si>
  <si>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</si>
  <si>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</si>
  <si>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</si>
  <si>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</si>
  <si>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</si>
  <si>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</si>
  <si>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</si>
  <si>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</si>
  <si>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</si>
  <si>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</si>
  <si>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</si>
  <si>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</si>
  <si>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</si>
  <si>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</si>
  <si>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</si>
  <si>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</si>
  <si>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</si>
  <si>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</si>
  <si>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</si>
  <si>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</si>
  <si>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</si>
  <si>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</si>
  <si>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</si>
  <si>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</si>
  <si>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</si>
  <si>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</si>
  <si>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</si>
  <si>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</si>
  <si>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</si>
  <si>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</si>
  <si>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</si>
  <si>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</si>
  <si>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</si>
  <si>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</si>
  <si>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</si>
  <si>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</si>
  <si>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</si>
  <si>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</si>
  <si>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</si>
  <si>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</si>
  <si>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</si>
  <si>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</si>
  <si>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</si>
  <si>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</si>
  <si>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</si>
  <si>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</si>
  <si>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</si>
  <si>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</si>
  <si>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</si>
  <si>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</si>
  <si>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</si>
  <si>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</si>
  <si>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</si>
  <si>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</si>
  <si>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</si>
  <si>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</si>
  <si>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</si>
  <si>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</si>
  <si>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</si>
  <si>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</si>
  <si>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</si>
  <si>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</si>
  <si>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</si>
  <si>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</si>
  <si>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</si>
  <si>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</si>
  <si>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</si>
  <si>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</si>
  <si>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</si>
  <si>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</si>
  <si>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</si>
  <si>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</si>
  <si>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</si>
  <si>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</si>
  <si>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</si>
  <si>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</si>
  <si>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</si>
  <si>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</si>
  <si>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</si>
  <si>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</si>
  <si>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</si>
  <si>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</si>
  <si>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</si>
  <si>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</si>
  <si>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</si>
  <si>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</si>
  <si>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</si>
  <si>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</si>
  <si>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</si>
  <si>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</si>
  <si>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</si>
  <si>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</si>
  <si>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</si>
  <si>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</si>
  <si>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</si>
  <si>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</si>
  <si>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</si>
  <si>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</si>
  <si>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</si>
  <si>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</si>
  <si>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</si>
  <si>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</si>
  <si>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</si>
  <si>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</si>
  <si>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</si>
  <si>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</si>
  <si>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</si>
  <si>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</si>
  <si>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</si>
  <si>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</si>
  <si>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</si>
  <si>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</si>
  <si>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</si>
  <si>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</si>
  <si>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</si>
  <si>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</si>
  <si>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</si>
  <si>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</si>
  <si>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</si>
  <si>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</si>
  <si>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</si>
  <si>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</si>
  <si>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</si>
  <si>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</si>
  <si>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</si>
  <si>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</si>
  <si>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</si>
  <si>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</si>
  <si>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</si>
  <si>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</si>
  <si>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</si>
  <si>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</si>
  <si>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</si>
  <si>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</si>
  <si>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</si>
  <si>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</si>
  <si>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</si>
  <si>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</si>
  <si>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</si>
  <si>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</si>
  <si>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</si>
  <si>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</si>
  <si>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</si>
  <si>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</si>
  <si>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</si>
  <si>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</si>
  <si>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</si>
  <si>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</si>
  <si>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</si>
  <si>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</si>
  <si>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</si>
  <si>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</si>
  <si>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</si>
  <si>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</si>
  <si>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</si>
  <si>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</si>
  <si>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</si>
  <si>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</si>
  <si>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</si>
  <si>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</si>
  <si>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</si>
  <si>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</si>
  <si>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</si>
  <si>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</si>
  <si>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</si>
  <si>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</si>
  <si>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</si>
  <si>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</si>
  <si>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</si>
  <si>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</si>
  <si>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</si>
  <si>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</si>
  <si>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</si>
  <si>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</si>
  <si>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</si>
  <si>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</si>
  <si>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</si>
  <si>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</si>
  <si>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</si>
  <si>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</si>
  <si>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</si>
  <si>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</si>
  <si>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</si>
  <si>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</si>
  <si>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</si>
  <si>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</si>
  <si>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</si>
  <si>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</si>
  <si>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</si>
  <si>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</si>
  <si>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</si>
  <si>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</si>
  <si>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</si>
  <si>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</si>
  <si>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</si>
  <si>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</si>
  <si>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</si>
  <si>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</si>
  <si>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</si>
  <si>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</si>
  <si>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</si>
  <si>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</si>
  <si>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</si>
  <si>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</si>
  <si>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</si>
  <si>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</si>
  <si>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</si>
  <si>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</si>
  <si>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</si>
  <si>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</si>
  <si>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</si>
  <si>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</si>
  <si>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</si>
  <si>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</si>
  <si>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</si>
  <si>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</si>
  <si>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</si>
  <si>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</si>
  <si>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</si>
  <si>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</si>
  <si>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</si>
  <si>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</si>
  <si>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</si>
  <si>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</si>
  <si>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</si>
  <si>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</si>
  <si>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</si>
  <si>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</si>
  <si>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</si>
  <si>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</si>
  <si>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</si>
  <si>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</si>
  <si>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</si>
  <si>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</si>
  <si>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</si>
  <si>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</si>
  <si>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</si>
  <si>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</si>
  <si>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</si>
  <si>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</si>
  <si>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</si>
  <si>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</si>
  <si>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</si>
  <si>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</si>
  <si>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</si>
  <si>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</si>
  <si>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</si>
  <si>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</si>
  <si>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</si>
  <si>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</si>
  <si>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</si>
  <si>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</si>
  <si>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</si>
  <si>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</si>
  <si>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</si>
  <si>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</si>
  <si>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</si>
  <si>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</si>
  <si>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</si>
  <si>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</si>
  <si>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</si>
  <si>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</si>
  <si>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</si>
  <si>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</si>
  <si>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</si>
  <si>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</si>
  <si>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</si>
  <si>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</si>
  <si>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</si>
  <si>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</si>
  <si>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</si>
  <si>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</si>
  <si>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</si>
  <si>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</si>
  <si>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</si>
  <si>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</si>
  <si>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</si>
  <si>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</si>
  <si>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</si>
  <si>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</si>
  <si>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</si>
  <si>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</si>
  <si>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</si>
  <si>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</si>
  <si>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</si>
  <si>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</si>
  <si>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</si>
  <si>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</si>
  <si>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</si>
  <si>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</si>
  <si>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</si>
  <si>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</si>
  <si>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</si>
  <si>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</si>
  <si>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</si>
  <si>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</si>
  <si>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</si>
  <si>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</si>
  <si>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</si>
  <si>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</si>
  <si>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</si>
  <si>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</si>
  <si>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</si>
  <si>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</si>
  <si>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</si>
  <si>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</si>
  <si>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</si>
  <si>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</si>
  <si>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</si>
  <si>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</si>
  <si>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</si>
  <si>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</si>
  <si>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</si>
  <si>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</si>
  <si>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</si>
  <si>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</si>
  <si>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</si>
  <si>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</si>
  <si>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</si>
  <si>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</si>
  <si>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</si>
  <si>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</si>
  <si>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</si>
  <si>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</si>
  <si>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</si>
  <si>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</si>
  <si>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</si>
  <si>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</si>
  <si>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</si>
  <si>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</si>
  <si>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</si>
  <si>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</si>
  <si>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</si>
  <si>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</si>
  <si>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</si>
  <si>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</si>
  <si>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</si>
  <si>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</si>
  <si>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</si>
  <si>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</si>
  <si>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</si>
  <si>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</si>
  <si>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</si>
  <si>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</si>
  <si>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</si>
  <si>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</si>
  <si>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</si>
  <si>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</si>
  <si>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</si>
  <si>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</si>
  <si>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</si>
  <si>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</si>
  <si>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</si>
  <si>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</si>
  <si>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</si>
  <si>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</si>
  <si>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</si>
  <si>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</si>
  <si>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</si>
  <si>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</si>
  <si>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</si>
  <si>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</si>
  <si>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</si>
  <si>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</si>
  <si>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</si>
  <si>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</si>
  <si>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</si>
  <si>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</si>
  <si>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</si>
  <si>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</si>
  <si>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</si>
  <si>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</si>
  <si>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</si>
  <si>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</si>
  <si>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</si>
  <si>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</si>
  <si>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</si>
  <si>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</si>
  <si>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</si>
  <si>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</si>
  <si>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</si>
  <si>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</si>
  <si>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</si>
  <si>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</si>
  <si>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</si>
  <si>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</si>
  <si>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</si>
  <si>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</si>
  <si>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</si>
  <si>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</si>
  <si>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</si>
  <si>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</si>
  <si>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</si>
  <si>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</si>
  <si>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</si>
  <si>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</si>
  <si>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</si>
  <si>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</si>
  <si>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</si>
  <si>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</si>
  <si>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</si>
  <si>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</si>
  <si>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</si>
  <si>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</si>
  <si>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</si>
  <si>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</si>
  <si>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</si>
  <si>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</si>
  <si>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</si>
  <si>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</si>
  <si>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</si>
  <si>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</si>
  <si>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</si>
  <si>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</si>
  <si>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</si>
  <si>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</si>
  <si>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</si>
  <si>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</si>
  <si>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</si>
  <si>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</si>
  <si>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</si>
  <si>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</si>
  <si>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</si>
  <si>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</si>
  <si>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</si>
  <si>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</si>
  <si>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</si>
  <si>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</si>
  <si>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</si>
  <si>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</si>
  <si>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</si>
  <si>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</si>
  <si>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</si>
  <si>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</si>
  <si>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</si>
  <si>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</si>
  <si>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</si>
  <si>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</si>
  <si>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</si>
  <si>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</si>
  <si>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</si>
  <si>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</si>
  <si>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</si>
  <si>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</si>
  <si>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</si>
  <si>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</si>
  <si>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</si>
  <si>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</si>
  <si>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</si>
  <si>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</si>
  <si>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</si>
  <si>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</si>
  <si>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</si>
  <si>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</si>
  <si>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</si>
  <si>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</si>
  <si>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</si>
  <si>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</si>
  <si>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</si>
  <si>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</si>
  <si>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</si>
  <si>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</si>
  <si>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</si>
  <si>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</si>
  <si>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</si>
  <si>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</si>
  <si>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</si>
  <si>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</si>
  <si>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</si>
  <si>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</si>
  <si>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</si>
  <si>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</si>
  <si>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</si>
  <si>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</si>
  <si>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</si>
  <si>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</si>
  <si>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</si>
  <si>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</si>
  <si>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</si>
  <si>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</si>
  <si>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</si>
  <si>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</si>
  <si>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</si>
  <si>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</si>
  <si>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</si>
  <si>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</si>
  <si>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</si>
  <si>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</si>
  <si>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</si>
  <si>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</si>
  <si>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</si>
  <si>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</si>
  <si>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</si>
  <si>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</si>
  <si>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</si>
  <si>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</si>
  <si>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</si>
  <si>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</si>
  <si>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</si>
  <si>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</si>
  <si>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</si>
  <si>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</si>
  <si>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</si>
  <si>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</si>
  <si>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</si>
  <si>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</si>
  <si>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</si>
  <si>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</si>
  <si>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</si>
  <si>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</si>
  <si>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</si>
  <si>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</si>
  <si>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</si>
  <si>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</si>
  <si>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</si>
  <si>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</si>
  <si>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</si>
  <si>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</si>
  <si>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</si>
  <si>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</si>
  <si>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</si>
  <si>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</si>
  <si>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</si>
  <si>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</si>
  <si>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</si>
  <si>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</si>
  <si>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</si>
  <si>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</si>
  <si>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</si>
  <si>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</si>
  <si>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</si>
  <si>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</si>
  <si>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</si>
  <si>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</si>
  <si>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</si>
  <si>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</si>
  <si>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</si>
  <si>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</si>
  <si>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</si>
  <si>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</si>
  <si>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</si>
  <si>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</si>
  <si>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</si>
  <si>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</si>
  <si>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</si>
  <si>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</si>
  <si>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</si>
  <si>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</si>
  <si>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</si>
  <si>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</si>
  <si>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</si>
  <si>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</si>
  <si>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</si>
  <si>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</si>
  <si>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</si>
  <si>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</si>
  <si>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</si>
  <si>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</si>
  <si>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</si>
  <si>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</si>
  <si>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</si>
  <si>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</si>
  <si>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</si>
  <si>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</si>
  <si>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</si>
  <si>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</si>
  <si>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</si>
  <si>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</si>
  <si>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</si>
  <si>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</si>
  <si>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</si>
  <si>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</si>
  <si>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</si>
  <si>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</si>
  <si>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</si>
  <si>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</si>
  <si>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</si>
  <si>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</si>
  <si>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</si>
  <si>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</si>
  <si>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</si>
  <si>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</si>
  <si>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</si>
  <si>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</si>
  <si>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</si>
  <si>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</si>
  <si>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</si>
  <si>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</si>
  <si>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</si>
  <si>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</si>
  <si>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</si>
  <si>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</si>
  <si>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</si>
  <si>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</si>
  <si>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</si>
  <si>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</si>
  <si>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</si>
  <si>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</si>
  <si>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</si>
  <si>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</si>
  <si>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</si>
  <si>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</si>
  <si>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</si>
  <si>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</si>
  <si>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</si>
  <si>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</si>
  <si>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</si>
  <si>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</si>
  <si>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</si>
  <si>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</si>
  <si>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</si>
  <si>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</si>
  <si>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</si>
  <si>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</si>
  <si>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</si>
  <si>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</si>
  <si>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</si>
  <si>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</si>
  <si>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</si>
  <si>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</si>
  <si>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</si>
  <si>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</si>
  <si>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</si>
  <si>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</si>
  <si>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</si>
  <si>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</si>
  <si>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</si>
  <si>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</si>
  <si>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</si>
  <si>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</si>
  <si>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</si>
  <si>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</si>
  <si>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</si>
  <si>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</si>
  <si>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</si>
  <si>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</si>
  <si>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</si>
  <si>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</si>
  <si>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</si>
  <si>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</si>
  <si>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</si>
  <si>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</si>
  <si>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</si>
  <si>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</si>
  <si>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</si>
  <si>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</si>
  <si>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</si>
  <si>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</si>
  <si>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</si>
  <si>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</si>
  <si>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</si>
  <si>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</si>
  <si>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</si>
  <si>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</si>
  <si>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</si>
  <si>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</si>
  <si>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</si>
  <si>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</si>
  <si>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</si>
  <si>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</si>
  <si>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</si>
  <si>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</si>
  <si>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</si>
  <si>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</si>
  <si>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</si>
  <si>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</si>
  <si>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</si>
  <si>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</si>
  <si>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</si>
  <si>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</si>
  <si>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</si>
  <si>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</si>
  <si>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</si>
  <si>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</si>
  <si>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</si>
  <si>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</si>
  <si>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</si>
  <si>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</si>
  <si>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</si>
  <si>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</si>
  <si>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</si>
  <si>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</si>
  <si>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</si>
  <si>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</si>
  <si>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</si>
  <si>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</si>
  <si>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</si>
  <si>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</si>
  <si>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</si>
  <si>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</si>
  <si>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</si>
  <si>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</si>
  <si>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</si>
  <si>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</si>
  <si>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</si>
  <si>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</si>
  <si>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</si>
  <si>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</si>
  <si>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</si>
  <si>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</si>
  <si>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</si>
  <si>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</si>
  <si>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</si>
  <si>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</si>
  <si>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</si>
  <si>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</si>
  <si>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</si>
  <si>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</si>
  <si>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</si>
  <si>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</si>
  <si>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</si>
  <si>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</si>
  <si>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</si>
  <si>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</si>
  <si>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</si>
  <si>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</si>
  <si>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</si>
  <si>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</si>
  <si>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</si>
  <si>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</si>
  <si>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</si>
  <si>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</si>
  <si>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</si>
  <si>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</si>
  <si>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</si>
  <si>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</si>
  <si>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</si>
  <si>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</si>
  <si>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</si>
  <si>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</si>
  <si>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</si>
  <si>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</si>
  <si>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</si>
  <si>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</si>
  <si>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</si>
  <si>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</si>
  <si>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</si>
  <si>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</si>
  <si>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</si>
  <si>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</si>
  <si>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</si>
  <si>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</si>
  <si>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</si>
  <si>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</si>
  <si>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</si>
  <si>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</si>
  <si>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</si>
  <si>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</si>
  <si>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</si>
  <si>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</si>
  <si>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</si>
  <si>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</si>
  <si>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</si>
  <si>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</si>
  <si>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</si>
  <si>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</si>
  <si>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</si>
  <si>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</si>
  <si>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</si>
  <si>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</si>
  <si>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</si>
  <si>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</si>
  <si>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</si>
  <si>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</si>
  <si>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</si>
  <si>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</si>
  <si>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</si>
  <si>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</si>
  <si>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</si>
  <si>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</si>
  <si>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</si>
  <si>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</si>
  <si>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</si>
  <si>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</si>
  <si>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</si>
  <si>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</si>
  <si>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</si>
  <si>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</si>
  <si>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</si>
  <si>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</si>
  <si>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</si>
  <si>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</si>
  <si>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</si>
  <si>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</si>
  <si>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</si>
  <si>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</si>
  <si>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</si>
  <si>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</si>
  <si>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</si>
  <si>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</si>
  <si>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</si>
  <si>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</si>
  <si>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</si>
  <si>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</si>
  <si>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</si>
  <si>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</si>
  <si>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</si>
  <si>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</si>
  <si>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</si>
  <si>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</si>
  <si>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</si>
  <si>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</si>
  <si>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</si>
  <si>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</si>
  <si>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</si>
  <si>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</si>
  <si>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</si>
  <si>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</si>
  <si>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</si>
  <si>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</si>
  <si>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</si>
  <si>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</si>
  <si>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</si>
  <si>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</si>
  <si>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</si>
  <si>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</si>
  <si>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</si>
  <si>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</si>
  <si>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</si>
  <si>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</si>
  <si>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</si>
  <si>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</si>
  <si>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</si>
  <si>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</si>
  <si>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</si>
  <si>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</si>
  <si>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</si>
  <si>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</si>
  <si>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</si>
  <si>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</si>
  <si>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</si>
  <si>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</si>
  <si>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</si>
  <si>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</si>
  <si>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</si>
  <si>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</si>
  <si>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</si>
  <si>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</si>
  <si>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</si>
  <si>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</si>
  <si>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</si>
  <si>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</si>
  <si>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</si>
  <si>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</si>
  <si>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</si>
  <si>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</si>
  <si>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</si>
  <si>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</si>
  <si>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</si>
  <si>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</si>
  <si>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</si>
  <si>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</si>
  <si>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</si>
  <si>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</si>
  <si>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</si>
  <si>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</si>
  <si>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</si>
  <si>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</si>
  <si>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</si>
  <si>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</si>
  <si>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</si>
  <si>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</si>
  <si>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</si>
  <si>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</si>
  <si>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</si>
  <si>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</si>
  <si>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</si>
  <si>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</si>
  <si>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</si>
  <si>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</si>
  <si>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</si>
  <si>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</si>
  <si>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</si>
  <si>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</si>
  <si>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</si>
  <si>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</si>
  <si>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</si>
  <si>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</si>
  <si>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</si>
  <si>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</si>
  <si>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</si>
  <si>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</si>
  <si>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</si>
  <si>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</si>
  <si>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</si>
  <si>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</si>
  <si>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</si>
  <si>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</si>
  <si>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</si>
  <si>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</si>
  <si>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</si>
  <si>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</si>
  <si>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</si>
  <si>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</si>
  <si>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</si>
  <si>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</si>
  <si>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</si>
  <si>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</si>
  <si>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</si>
  <si>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</si>
  <si>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</si>
  <si>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</si>
  <si>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</si>
  <si>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</si>
  <si>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</si>
  <si>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</si>
  <si>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</si>
  <si>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</si>
  <si>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</si>
  <si>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</si>
  <si>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</si>
  <si>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</si>
  <si>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</si>
  <si>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</si>
  <si>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</si>
  <si>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</si>
  <si>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</si>
  <si>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</si>
  <si>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</si>
  <si>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</si>
  <si>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</si>
  <si>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</si>
  <si>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</si>
  <si>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</si>
  <si>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</si>
  <si>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</si>
  <si>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</si>
  <si>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</si>
  <si>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</si>
  <si>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</si>
  <si>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</si>
  <si>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</si>
  <si>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</si>
  <si>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</si>
  <si>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</si>
  <si>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</si>
  <si>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</si>
  <si>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</si>
  <si>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</si>
  <si>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</si>
  <si>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</si>
  <si>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</si>
  <si>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</si>
  <si>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</si>
  <si>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</si>
  <si>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</si>
  <si>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</si>
  <si>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</si>
  <si>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</si>
  <si>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</si>
  <si>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</si>
  <si>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</si>
  <si>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</si>
  <si>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</si>
  <si>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</si>
  <si>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</si>
  <si>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</si>
  <si>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</si>
  <si>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</si>
  <si>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</si>
  <si>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</si>
  <si>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</si>
  <si>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</si>
  <si>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</si>
  <si>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</si>
  <si>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</si>
  <si>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</si>
  <si>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</si>
  <si>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</si>
  <si>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</si>
  <si>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</si>
  <si>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</si>
  <si>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</si>
  <si>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</si>
  <si>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</si>
  <si>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</si>
  <si>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</si>
  <si>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</si>
  <si>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</si>
  <si>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</si>
  <si>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</si>
  <si>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</si>
  <si>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</si>
  <si>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</si>
  <si>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</si>
  <si>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</si>
  <si>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</si>
  <si>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</si>
  <si>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</si>
  <si>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</si>
  <si>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</si>
  <si>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</si>
  <si>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</si>
  <si>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</si>
  <si>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</si>
  <si>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</si>
  <si>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</si>
  <si>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</si>
  <si>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</si>
  <si>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</si>
  <si>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</si>
  <si>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</si>
  <si>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</si>
  <si>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</si>
  <si>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</si>
  <si>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</si>
  <si>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</si>
  <si>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</si>
  <si>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</si>
  <si>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</si>
  <si>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</si>
  <si>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</si>
  <si>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</si>
  <si>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</si>
  <si>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</si>
  <si>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</si>
  <si>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</si>
  <si>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</si>
  <si>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</si>
  <si>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</si>
  <si>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</si>
  <si>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</si>
  <si>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</si>
  <si>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</si>
  <si>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</si>
  <si>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</si>
  <si>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</si>
  <si>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</si>
  <si>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</si>
  <si>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</si>
  <si>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</si>
  <si>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</si>
  <si>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</si>
  <si>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</si>
  <si>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</si>
  <si>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</si>
  <si>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</si>
  <si>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</si>
  <si>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</si>
  <si>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</si>
  <si>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</si>
  <si>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</si>
  <si>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</si>
  <si>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</si>
  <si>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</si>
  <si>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</si>
  <si>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</si>
  <si>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</si>
  <si>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</si>
  <si>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</si>
  <si>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</si>
  <si>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</si>
  <si>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</si>
  <si>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</si>
  <si>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</si>
  <si>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</si>
  <si>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</si>
  <si>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</si>
  <si>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</si>
  <si>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</si>
  <si>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</si>
  <si>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</si>
  <si>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</si>
  <si>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</si>
  <si>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</si>
  <si>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</si>
  <si>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</si>
  <si>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</si>
  <si>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</si>
  <si>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</si>
  <si>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</si>
  <si>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</si>
  <si>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</si>
  <si>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</si>
  <si>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</si>
  <si>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</si>
  <si>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</si>
  <si>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</si>
  <si>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</si>
  <si>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</si>
  <si>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</si>
  <si>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</si>
  <si>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</si>
  <si>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</si>
  <si>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</si>
  <si>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</si>
  <si>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</si>
  <si>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</si>
  <si>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</si>
  <si>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</si>
  <si>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</si>
  <si>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</si>
  <si>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</si>
  <si>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</si>
  <si>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</si>
  <si>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</si>
  <si>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</si>
  <si>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</si>
  <si>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</si>
  <si>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</si>
  <si>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</si>
  <si>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</si>
  <si>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</si>
  <si>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</si>
  <si>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</si>
  <si>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</si>
  <si>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</si>
  <si>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</si>
  <si>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</si>
  <si>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</si>
  <si>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</si>
  <si>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</si>
  <si>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</si>
  <si>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</si>
  <si>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</si>
  <si>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</si>
  <si>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</si>
  <si>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</si>
  <si>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</si>
  <si>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</si>
  <si>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</si>
  <si>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</si>
  <si>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</si>
  <si>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</si>
  <si>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</si>
  <si>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</si>
  <si>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</si>
  <si>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</si>
  <si>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</si>
  <si>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</si>
  <si>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</si>
  <si>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</si>
  <si>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</si>
  <si>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</si>
  <si>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</si>
  <si>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</si>
  <si>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</si>
  <si>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</si>
  <si>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</si>
  <si>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</si>
  <si>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</si>
  <si>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</si>
  <si>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</si>
  <si>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</si>
  <si>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</si>
  <si>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</si>
  <si>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</si>
  <si>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</si>
  <si>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</si>
  <si>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</si>
  <si>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</si>
  <si>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</si>
  <si>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</si>
  <si>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</si>
  <si>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</si>
  <si>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</si>
  <si>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</si>
  <si>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</si>
  <si>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</si>
  <si>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</si>
  <si>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</si>
  <si>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</si>
  <si>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</si>
  <si>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</si>
  <si>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</si>
  <si>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</si>
  <si>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</si>
  <si>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</si>
  <si>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</si>
  <si>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</si>
  <si>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</si>
  <si>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</si>
  <si>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</si>
  <si>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</si>
  <si>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</si>
  <si>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</si>
  <si>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</si>
  <si>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</si>
  <si>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</si>
  <si>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</si>
  <si>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</si>
  <si>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</si>
  <si>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</si>
  <si>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</si>
  <si>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</si>
  <si>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</si>
  <si>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</si>
  <si>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</si>
  <si>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</si>
  <si>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</si>
  <si>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</si>
  <si>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</si>
  <si>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</si>
  <si>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</si>
  <si>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</si>
  <si>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</si>
  <si>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</si>
  <si>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</si>
  <si>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</si>
  <si>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</si>
  <si>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</si>
  <si>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</si>
  <si>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</si>
  <si>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</si>
  <si>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</si>
  <si>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</si>
  <si>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</si>
  <si>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</si>
  <si>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</si>
  <si>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</si>
  <si>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</si>
  <si>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</si>
  <si>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</si>
  <si>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</si>
  <si>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</si>
  <si>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</si>
  <si>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</si>
  <si>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</si>
  <si>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</si>
  <si>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</si>
  <si>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</si>
  <si>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</si>
  <si>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</si>
  <si>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</si>
  <si>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</si>
  <si>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</si>
  <si>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</si>
  <si>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</si>
  <si>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</si>
  <si>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</si>
  <si>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</si>
  <si>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</si>
  <si>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</si>
  <si>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</si>
  <si>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</si>
  <si>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</si>
  <si>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</si>
  <si>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</si>
  <si>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</si>
  <si>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</si>
  <si>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</si>
  <si>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</si>
  <si>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</si>
  <si>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</si>
  <si>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</si>
  <si>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</si>
  <si>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</si>
  <si>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</si>
  <si>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</si>
  <si>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</si>
  <si>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</si>
  <si>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</si>
  <si>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</si>
  <si>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</si>
  <si>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</si>
  <si>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</si>
  <si>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</si>
  <si>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</si>
  <si>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</si>
  <si>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</si>
  <si>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</si>
  <si>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</si>
  <si>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</si>
  <si>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</si>
  <si>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</si>
  <si>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</si>
  <si>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</si>
  <si>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</si>
  <si>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</si>
  <si>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</si>
  <si>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</si>
  <si>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</si>
  <si>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</si>
  <si>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</si>
  <si>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</si>
  <si>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</si>
  <si>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</si>
  <si>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</si>
  <si>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</si>
  <si>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</si>
  <si>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</si>
  <si>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</si>
  <si>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</si>
  <si>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</si>
  <si>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</si>
  <si>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</si>
  <si>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</si>
  <si>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</si>
  <si>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</si>
  <si>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</si>
  <si>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</si>
  <si>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</si>
  <si>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</si>
  <si>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</si>
  <si>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</si>
  <si>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</si>
  <si>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</si>
  <si>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</si>
  <si>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</si>
  <si>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</si>
  <si>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</si>
  <si>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</si>
  <si>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</si>
  <si>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</si>
  <si>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</si>
  <si>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</si>
  <si>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</si>
  <si>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</si>
  <si>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</si>
  <si>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</si>
  <si>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</si>
  <si>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</si>
  <si>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</si>
  <si>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</si>
  <si>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</si>
  <si>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</si>
  <si>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</si>
  <si>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</si>
  <si>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</si>
  <si>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</si>
  <si>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</si>
  <si>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</si>
  <si>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</si>
  <si>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</si>
  <si>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</si>
  <si>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</si>
  <si>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</si>
  <si>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</si>
  <si>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</si>
  <si>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</si>
  <si>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</si>
  <si>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</si>
  <si>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</si>
  <si>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</si>
  <si>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</si>
  <si>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</si>
  <si>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</si>
  <si>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</si>
  <si>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</si>
  <si>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</si>
  <si>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</si>
  <si>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</si>
  <si>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</si>
  <si>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</si>
  <si>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</si>
  <si>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</si>
  <si>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</si>
  <si>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</si>
  <si>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</si>
  <si>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</si>
  <si>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</si>
  <si>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</si>
  <si>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</si>
  <si>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</si>
  <si>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</si>
  <si>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</si>
  <si>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</si>
  <si>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</si>
  <si>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</si>
  <si>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</si>
  <si>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</si>
  <si>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</si>
  <si>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</si>
  <si>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</si>
  <si>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</si>
  <si>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</si>
  <si>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</si>
  <si>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</si>
  <si>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</si>
  <si>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</si>
  <si>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</si>
  <si>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</si>
  <si>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</si>
  <si>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</si>
  <si>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</si>
  <si>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</si>
  <si>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</si>
  <si>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</si>
  <si>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</si>
  <si>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</si>
  <si>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</si>
  <si>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</si>
  <si>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</si>
  <si>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</si>
  <si>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</si>
  <si>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</si>
  <si>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</si>
  <si>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</si>
  <si>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</si>
  <si>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</si>
  <si>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</si>
  <si>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</si>
  <si>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</si>
  <si>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</si>
  <si>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</si>
  <si>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</si>
  <si>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</si>
  <si>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</si>
  <si>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</si>
  <si>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</si>
  <si>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</si>
  <si>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</si>
  <si>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</si>
  <si>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</si>
  <si>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</si>
  <si>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</si>
  <si>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</si>
  <si>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</si>
  <si>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</si>
  <si>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</si>
  <si>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</si>
  <si>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</si>
  <si>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</si>
  <si>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</si>
  <si>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</si>
  <si>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</si>
  <si>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</si>
  <si>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</si>
  <si>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</si>
  <si>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</si>
  <si>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</si>
  <si>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</si>
  <si>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</si>
  <si>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</si>
  <si>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</si>
  <si>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</si>
  <si>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</si>
  <si>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</si>
  <si>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</si>
  <si>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</si>
  <si>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</si>
  <si>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</si>
  <si>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</si>
  <si>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</si>
  <si>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</si>
  <si>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</si>
  <si>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</si>
  <si>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</si>
  <si>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</si>
  <si>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</si>
  <si>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</si>
  <si>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</si>
  <si>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</si>
  <si>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</si>
  <si>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</si>
  <si>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</si>
  <si>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</si>
  <si>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</si>
  <si>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</si>
  <si>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</si>
  <si>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</si>
  <si>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</si>
  <si>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</si>
  <si>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</si>
  <si>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</si>
  <si>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</si>
  <si>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</si>
  <si>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</si>
  <si>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</si>
  <si>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</si>
  <si>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</si>
  <si>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</si>
  <si>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</si>
  <si>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</si>
  <si>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</si>
  <si>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</si>
  <si>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</si>
  <si>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</si>
  <si>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</si>
  <si>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</si>
  <si>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</si>
  <si>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</si>
  <si>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</si>
  <si>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</si>
  <si>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</si>
  <si>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</si>
  <si>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</si>
  <si>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</si>
  <si>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</si>
  <si>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</si>
  <si>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</si>
  <si>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</si>
  <si>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</si>
  <si>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</si>
  <si>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</si>
  <si>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</si>
  <si>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</si>
  <si>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</si>
  <si>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</si>
  <si>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</si>
  <si>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</si>
  <si>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</si>
  <si>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</si>
  <si>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</si>
  <si>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</si>
  <si>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</si>
  <si>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</si>
  <si>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</si>
  <si>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</si>
  <si>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</si>
  <si>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</si>
  <si>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</si>
  <si>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</si>
  <si>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</si>
  <si>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</si>
  <si>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</si>
  <si>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</si>
  <si>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</si>
  <si>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</si>
  <si>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</si>
  <si>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</si>
  <si>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</si>
  <si>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</si>
  <si>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</si>
  <si>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</si>
  <si>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</si>
  <si>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</si>
  <si>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</si>
  <si>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</si>
  <si>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</si>
  <si>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</si>
  <si>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</si>
  <si>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</si>
  <si>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</si>
  <si>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</si>
  <si>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</si>
  <si>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</si>
  <si>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</si>
  <si>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</si>
  <si>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</si>
  <si>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</si>
  <si>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</si>
  <si>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</si>
  <si>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</si>
  <si>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</si>
  <si>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</si>
  <si>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</si>
  <si>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</si>
  <si>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</si>
  <si>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</si>
  <si>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</si>
  <si>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</si>
  <si>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</si>
  <si>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</si>
  <si>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</si>
  <si>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</si>
  <si>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</si>
  <si>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</si>
  <si>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</si>
  <si>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</si>
  <si>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</si>
  <si>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</si>
  <si>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</si>
  <si>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</si>
  <si>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</si>
  <si>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</si>
  <si>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</si>
  <si>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</si>
  <si>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</si>
  <si>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</si>
  <si>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</si>
  <si>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</si>
  <si>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</si>
  <si>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</si>
  <si>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</si>
  <si>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</si>
  <si>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</si>
  <si>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</si>
  <si>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</si>
  <si>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</si>
  <si>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</si>
  <si>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</si>
  <si>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</si>
  <si>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</si>
  <si>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</si>
  <si>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</si>
  <si>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</si>
  <si>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</si>
  <si>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</si>
  <si>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</si>
  <si>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</si>
  <si>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</si>
  <si>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</si>
  <si>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</si>
  <si>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</si>
  <si>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</si>
  <si>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</si>
  <si>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</si>
  <si>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</si>
  <si>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</si>
  <si>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</si>
  <si>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</si>
  <si>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</si>
  <si>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</si>
  <si>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</si>
  <si>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</si>
  <si>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</si>
  <si>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</si>
  <si>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</si>
  <si>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</si>
  <si>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</si>
  <si>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</si>
  <si>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</si>
  <si>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</si>
  <si>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</si>
  <si>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</si>
  <si>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</si>
  <si>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</si>
  <si>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</si>
  <si>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</si>
  <si>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</si>
  <si>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</si>
  <si>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</si>
  <si>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</si>
  <si>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</si>
  <si>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</si>
  <si>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</si>
  <si>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</si>
  <si>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</si>
  <si>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</si>
  <si>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</si>
  <si>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</si>
  <si>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</si>
  <si>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</si>
  <si>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</si>
  <si>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</si>
  <si>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</si>
  <si>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</si>
  <si>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</si>
  <si>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</si>
  <si>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</si>
  <si>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</si>
  <si>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</si>
  <si>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</si>
  <si>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</si>
  <si>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</si>
  <si>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</si>
  <si>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</si>
  <si>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</si>
  <si>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</si>
  <si>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</si>
  <si>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</si>
  <si>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</si>
  <si>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</si>
  <si>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</si>
  <si>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</si>
  <si>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</si>
  <si>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</si>
  <si>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</si>
  <si>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</si>
  <si>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</si>
  <si>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</si>
  <si>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</si>
  <si>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</si>
  <si>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</si>
  <si>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</si>
  <si>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</si>
  <si>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</si>
  <si>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</si>
  <si>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</si>
  <si>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</si>
  <si>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</si>
  <si>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</si>
  <si>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</si>
  <si>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</si>
  <si>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</si>
  <si>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</si>
  <si>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</si>
  <si>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</si>
  <si>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</si>
  <si>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</si>
  <si>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</si>
  <si>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</si>
  <si>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</si>
  <si>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</si>
  <si>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</si>
  <si>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</si>
  <si>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</si>
  <si>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</si>
  <si>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</si>
  <si>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</si>
  <si>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</si>
  <si>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</si>
  <si>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</si>
  <si>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</si>
  <si>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</si>
  <si>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</si>
  <si>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</si>
  <si>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</si>
  <si>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</si>
  <si>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</si>
  <si>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</si>
  <si>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</si>
  <si>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</si>
  <si>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</si>
  <si>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</si>
  <si>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</si>
  <si>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</si>
  <si>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</si>
  <si>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</si>
  <si>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</si>
  <si>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</si>
  <si>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</si>
  <si>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</si>
  <si>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</si>
  <si>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</si>
  <si>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</si>
  <si>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</si>
  <si>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</si>
  <si>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</si>
  <si>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</si>
  <si>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</si>
  <si>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</si>
  <si>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</si>
  <si>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</si>
  <si>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</si>
  <si>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</si>
  <si>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</si>
  <si>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</si>
  <si>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</si>
  <si>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</si>
  <si>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</si>
  <si>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</si>
  <si>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</si>
  <si>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</si>
  <si>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</si>
  <si>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</si>
  <si>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</si>
  <si>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</si>
  <si>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</si>
  <si>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</si>
  <si>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</si>
  <si>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</si>
  <si>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</si>
  <si>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</si>
  <si>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</si>
  <si>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</si>
  <si>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</si>
  <si>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</si>
  <si>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</si>
  <si>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</si>
  <si>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</si>
  <si>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</si>
  <si>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</si>
  <si>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</si>
  <si>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</si>
  <si>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</si>
  <si>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</si>
  <si>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</si>
  <si>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</si>
  <si>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</si>
  <si>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</si>
  <si>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</si>
  <si>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</si>
  <si>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</si>
  <si>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</si>
  <si>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</si>
  <si>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</si>
  <si>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</si>
  <si>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</si>
  <si>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</si>
  <si>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</si>
  <si>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</si>
  <si>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</si>
  <si>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</si>
  <si>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</si>
  <si>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</si>
  <si>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</si>
  <si>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</si>
  <si>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</si>
  <si>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</si>
  <si>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</si>
  <si>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</si>
  <si>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</si>
  <si>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</si>
  <si>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</si>
  <si>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</si>
  <si>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</si>
  <si>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</si>
  <si>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</si>
  <si>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</si>
  <si>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</si>
  <si>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</si>
  <si>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</si>
  <si>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</si>
  <si>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</si>
  <si>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</si>
  <si>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</si>
  <si>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</si>
  <si>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</si>
  <si>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</si>
  <si>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</si>
  <si>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</si>
  <si>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</si>
  <si>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</si>
  <si>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</si>
  <si>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</si>
  <si>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</si>
  <si>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</si>
  <si>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</si>
  <si>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</si>
  <si>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</si>
  <si>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</si>
  <si>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</si>
  <si>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</si>
  <si>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</si>
  <si>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</si>
  <si>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</si>
  <si>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</si>
  <si>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</si>
  <si>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</si>
  <si>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</si>
  <si>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</si>
  <si>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</si>
  <si>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</si>
  <si>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</si>
  <si>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</si>
  <si>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</si>
  <si>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</si>
  <si>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</si>
  <si>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</si>
  <si>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</si>
  <si>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</si>
  <si>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</si>
  <si>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</si>
  <si>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</si>
  <si>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</si>
  <si>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</si>
  <si>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</si>
  <si>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</si>
  <si>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</si>
  <si>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</si>
  <si>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</si>
  <si>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</si>
  <si>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</si>
  <si>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</si>
  <si>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</si>
  <si>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</si>
  <si>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</si>
  <si>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</si>
  <si>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</si>
  <si>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</si>
  <si>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</si>
  <si>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</si>
  <si>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</si>
  <si>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</si>
  <si>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</si>
  <si>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</si>
  <si>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</si>
  <si>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</si>
  <si>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</si>
  <si>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</si>
  <si>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</si>
  <si>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</si>
  <si>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</si>
  <si>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</si>
  <si>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</si>
  <si>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</si>
  <si>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</si>
  <si>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</si>
  <si>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</si>
  <si>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</si>
  <si>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</si>
  <si>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</si>
  <si>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</si>
  <si>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</si>
  <si>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</si>
  <si>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</si>
  <si>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</si>
  <si>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</si>
  <si>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</si>
  <si>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</si>
  <si>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</si>
  <si>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</si>
  <si>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</si>
  <si>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</si>
  <si>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</si>
  <si>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</si>
  <si>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</si>
  <si>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</si>
  <si>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</si>
  <si>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</si>
  <si>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</si>
  <si>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</si>
  <si>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</si>
  <si>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</si>
  <si>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</si>
  <si>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</si>
  <si>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</si>
  <si>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</si>
  <si>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</si>
  <si>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</si>
  <si>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</si>
  <si>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</si>
  <si>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</si>
  <si>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</si>
  <si>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</si>
  <si>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</si>
  <si>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</si>
  <si>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</si>
  <si>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</si>
  <si>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</si>
  <si>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</si>
  <si>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</si>
  <si>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</si>
  <si>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</si>
  <si>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</si>
  <si>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</si>
  <si>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</si>
  <si>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</si>
  <si>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</si>
  <si>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</si>
  <si>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</si>
  <si>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</si>
  <si>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</si>
  <si>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</si>
  <si>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</si>
  <si>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</si>
  <si>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</si>
  <si>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</si>
  <si>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</si>
  <si>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</si>
  <si>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</si>
  <si>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</si>
  <si>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</si>
  <si>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</si>
  <si>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</si>
  <si>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</si>
  <si>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</si>
  <si>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</si>
  <si>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</si>
  <si>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</si>
  <si>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</si>
  <si>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</si>
  <si>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</si>
  <si>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</si>
  <si>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</si>
  <si>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</si>
  <si>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</si>
  <si>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</si>
  <si>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</si>
  <si>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</si>
  <si>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</si>
  <si>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</si>
  <si>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</si>
  <si>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</si>
  <si>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</si>
  <si>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</si>
  <si>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</si>
  <si>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</si>
  <si>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</si>
  <si>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</si>
  <si>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</si>
  <si>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</si>
  <si>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</si>
  <si>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</si>
  <si>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</si>
  <si>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</si>
  <si>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</si>
  <si>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</si>
  <si>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</si>
  <si>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</si>
  <si>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</si>
  <si>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</si>
  <si>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</si>
  <si>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</si>
  <si>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</si>
  <si>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</si>
  <si>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</si>
  <si>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</si>
  <si>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</si>
  <si>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</si>
  <si>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</si>
  <si>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</si>
  <si>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</si>
  <si>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</si>
  <si>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</si>
  <si>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</si>
  <si>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</si>
  <si>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</si>
  <si>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</si>
  <si>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</si>
  <si>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</si>
  <si>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</si>
  <si>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</si>
  <si>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</si>
  <si>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</si>
  <si>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</si>
  <si>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</si>
  <si>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</si>
  <si>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</si>
  <si>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</si>
  <si>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</si>
  <si>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</si>
  <si>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</si>
  <si>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</si>
  <si>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</si>
  <si>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</si>
  <si>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</si>
  <si>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</si>
  <si>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</si>
  <si>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</si>
  <si>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</si>
  <si>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</si>
  <si>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</si>
  <si>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</si>
  <si>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</si>
  <si>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</si>
  <si>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</si>
  <si>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</si>
  <si>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</si>
  <si>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</si>
  <si>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</si>
  <si>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</si>
  <si>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</si>
  <si>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</si>
  <si>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</si>
  <si>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</si>
  <si>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</si>
  <si>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</si>
  <si>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</si>
  <si>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</si>
  <si>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</si>
  <si>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</si>
  <si>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</si>
  <si>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</si>
  <si>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</si>
  <si>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</si>
  <si>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</si>
  <si>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</si>
  <si>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</si>
  <si>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</si>
  <si>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</si>
  <si>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</si>
  <si>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</si>
  <si>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</si>
  <si>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</si>
  <si>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</si>
  <si>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</si>
  <si>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</si>
  <si>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</si>
  <si>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</si>
  <si>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</si>
  <si>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</si>
  <si>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</si>
  <si>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</si>
  <si>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</si>
  <si>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</si>
  <si>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</si>
  <si>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</si>
  <si>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</si>
  <si>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</si>
  <si>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</si>
  <si>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</si>
  <si>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</si>
  <si>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</si>
  <si>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</si>
  <si>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</si>
  <si>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</si>
  <si>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</si>
  <si>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</si>
  <si>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</si>
  <si>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</si>
  <si>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</si>
  <si>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</si>
  <si>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</si>
  <si>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</si>
  <si>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</si>
  <si>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</si>
  <si>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</si>
  <si>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</si>
  <si>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</si>
  <si>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</si>
  <si>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</si>
  <si>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</si>
  <si>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</si>
  <si>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</si>
  <si>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</si>
  <si>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</si>
  <si>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</si>
  <si>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</si>
  <si>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</si>
  <si>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</si>
  <si>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</si>
  <si>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</si>
  <si>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</si>
  <si>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</si>
  <si>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</si>
  <si>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</si>
  <si>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</si>
  <si>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</si>
  <si>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</si>
  <si>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</si>
  <si>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</si>
  <si>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</si>
  <si>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</si>
  <si>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</si>
  <si>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</si>
  <si>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</si>
  <si>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</si>
  <si>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</si>
  <si>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</si>
  <si>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</si>
  <si>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</si>
  <si>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</si>
  <si>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</si>
  <si>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</si>
  <si>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</si>
  <si>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</si>
  <si>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</si>
  <si>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</si>
  <si>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</si>
  <si>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</si>
  <si>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</si>
  <si>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</si>
  <si>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</si>
  <si>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</si>
  <si>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</si>
  <si>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</si>
  <si>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</si>
  <si>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</si>
  <si>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</si>
  <si>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</si>
  <si>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</si>
  <si>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</si>
  <si>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</si>
  <si>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</si>
  <si>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</si>
  <si>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</si>
  <si>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</si>
  <si>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</si>
  <si>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</si>
  <si>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</si>
  <si>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</si>
  <si>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</si>
  <si>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</si>
  <si>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</si>
  <si>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</si>
  <si>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</si>
  <si>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</si>
  <si>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</si>
  <si>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</si>
  <si>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</si>
  <si>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</si>
  <si>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</si>
  <si>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</si>
  <si>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</si>
  <si>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</si>
  <si>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</si>
  <si>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</si>
  <si>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</si>
  <si>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</si>
  <si>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</si>
  <si>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</si>
  <si>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</si>
  <si>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</si>
  <si>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</si>
  <si>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</si>
  <si>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</si>
  <si>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</si>
  <si>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</si>
  <si>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</si>
  <si>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</si>
  <si>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</si>
  <si>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</si>
  <si>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</si>
  <si>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</si>
  <si>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</si>
  <si>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</si>
  <si>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</si>
  <si>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</si>
  <si>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</si>
  <si>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</si>
  <si>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</si>
  <si>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</si>
  <si>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</si>
  <si>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</si>
  <si>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</si>
  <si>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</si>
  <si>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</si>
  <si>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</si>
  <si>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</si>
  <si>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</si>
  <si>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</si>
  <si>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</si>
  <si>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</si>
  <si>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</si>
  <si>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</si>
  <si>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</si>
  <si>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</si>
  <si>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</si>
  <si>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</si>
  <si>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</si>
  <si>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</si>
  <si>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</si>
  <si>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</si>
  <si>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</si>
  <si>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</si>
  <si>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</si>
  <si>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</si>
  <si>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</si>
  <si>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</si>
  <si>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</si>
  <si>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</si>
  <si>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</si>
  <si>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</si>
  <si>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</si>
  <si>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</si>
  <si>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</si>
  <si>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</si>
  <si>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</si>
  <si>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</si>
  <si>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</si>
  <si>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</si>
  <si>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</si>
  <si>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</si>
  <si>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</si>
  <si>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</si>
  <si>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</si>
  <si>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</si>
  <si>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</si>
  <si>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</si>
  <si>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</si>
  <si>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</si>
  <si>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</si>
  <si>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</si>
  <si>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</si>
  <si>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</si>
  <si>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</si>
  <si>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</si>
  <si>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</si>
  <si>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</si>
  <si>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</si>
  <si>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</si>
  <si>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</si>
  <si>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</si>
  <si>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</si>
  <si>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</si>
  <si>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</si>
  <si>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</si>
  <si>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</si>
  <si>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</si>
  <si>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</si>
  <si>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</si>
  <si>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</si>
  <si>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</si>
  <si>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</si>
  <si>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</si>
  <si>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</si>
  <si>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</si>
  <si>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</si>
  <si>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</si>
  <si>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</si>
  <si>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</si>
  <si>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</si>
  <si>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</si>
  <si>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</si>
  <si>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</si>
  <si>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</si>
  <si>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</si>
  <si>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</si>
  <si>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</si>
  <si>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</si>
  <si>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</si>
  <si>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</si>
  <si>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</si>
  <si>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</si>
  <si>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</si>
  <si>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</si>
  <si>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</si>
  <si>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</si>
  <si>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</si>
  <si>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</si>
  <si>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</si>
  <si>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</si>
  <si>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</si>
  <si>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</si>
  <si>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</si>
  <si>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</si>
  <si>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</si>
  <si>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</si>
  <si>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</si>
  <si>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</si>
  <si>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</si>
  <si>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</si>
  <si>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</si>
  <si>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</si>
  <si>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</si>
  <si>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</si>
  <si>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</si>
  <si>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</si>
  <si>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</si>
  <si>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</si>
  <si>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</si>
  <si>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</si>
  <si>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</si>
  <si>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</si>
  <si>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</si>
  <si>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</si>
  <si>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</si>
  <si>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</si>
  <si>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</si>
  <si>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</si>
  <si>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</si>
  <si>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</si>
  <si>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</si>
  <si>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</si>
  <si>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</si>
  <si>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</si>
  <si>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</si>
  <si>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</si>
  <si>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</si>
  <si>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</si>
  <si>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</si>
  <si>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</si>
  <si>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</si>
  <si>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</si>
  <si>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</si>
  <si>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</si>
  <si>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</si>
  <si>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</si>
  <si>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</si>
  <si>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</si>
  <si>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</si>
  <si>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</si>
  <si>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</si>
  <si>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</si>
  <si>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</si>
  <si>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</si>
  <si>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</si>
  <si>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</si>
  <si>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</si>
  <si>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</si>
  <si>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</si>
  <si>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</si>
  <si>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</si>
  <si>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</si>
  <si>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</si>
  <si>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</si>
  <si>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</si>
  <si>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</si>
  <si>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</si>
  <si>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</si>
  <si>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</si>
  <si>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</si>
  <si>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</si>
  <si>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</si>
  <si>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</si>
  <si>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</si>
  <si>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</si>
  <si>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</si>
  <si>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</si>
  <si>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</si>
  <si>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</si>
  <si>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</si>
  <si>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</si>
  <si>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</si>
  <si>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</si>
  <si>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</si>
  <si>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</si>
  <si>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</si>
  <si>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</si>
  <si>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</si>
  <si>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</si>
  <si>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</si>
  <si>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</si>
  <si>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</si>
  <si>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</si>
  <si>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</si>
  <si>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</si>
  <si>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</si>
  <si>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</si>
  <si>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</si>
  <si>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</si>
  <si>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</si>
  <si>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</si>
  <si>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</si>
  <si>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</si>
  <si>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</si>
  <si>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</si>
  <si>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</si>
  <si>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</si>
  <si>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</si>
  <si>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</si>
  <si>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</si>
  <si>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</si>
  <si>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</si>
  <si>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</si>
  <si>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</si>
  <si>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</si>
  <si>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</si>
  <si>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</si>
  <si>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</si>
  <si>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</si>
  <si>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</si>
  <si>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</si>
  <si>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</si>
  <si>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</si>
  <si>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</si>
  <si>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</si>
  <si>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</si>
  <si>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</si>
  <si>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</si>
  <si>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</si>
  <si>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</si>
  <si>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</si>
  <si>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</si>
  <si>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</si>
  <si>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</si>
  <si>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</si>
  <si>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</si>
  <si>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</si>
  <si>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</si>
  <si>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</si>
  <si>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</si>
  <si>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</si>
  <si>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</si>
  <si>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</si>
  <si>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</si>
  <si>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</si>
  <si>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</si>
  <si>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</si>
  <si>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</si>
  <si>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</si>
  <si>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</si>
  <si>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</si>
  <si>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</si>
  <si>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</si>
  <si>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</si>
  <si>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</si>
  <si>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</si>
  <si>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</si>
  <si>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</si>
  <si>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</si>
  <si>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</si>
  <si>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</si>
  <si>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</si>
  <si>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</si>
  <si>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</si>
  <si>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</si>
  <si>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</si>
  <si>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</si>
  <si>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</si>
  <si>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</si>
  <si>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</si>
  <si>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</si>
  <si>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</si>
  <si>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</si>
  <si>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</si>
  <si>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</si>
  <si>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</si>
  <si>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</si>
  <si>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</si>
  <si>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</si>
  <si>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</si>
  <si>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</si>
  <si>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</si>
  <si>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</si>
  <si>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</si>
  <si>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</si>
  <si>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</si>
  <si>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</si>
  <si>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</si>
  <si>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</si>
  <si>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</si>
  <si>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</si>
  <si>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</si>
  <si>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</si>
  <si>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</si>
  <si>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</si>
  <si>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</si>
  <si>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</si>
  <si>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</si>
  <si>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</si>
  <si>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</si>
  <si>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</si>
  <si>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</si>
  <si>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</si>
  <si>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</si>
  <si>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</si>
  <si>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</si>
  <si>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</si>
  <si>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</si>
  <si>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</si>
  <si>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</si>
  <si>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</si>
  <si>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</si>
  <si>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</si>
  <si>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</si>
  <si>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</si>
  <si>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</si>
  <si>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</si>
  <si>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</si>
  <si>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</si>
  <si>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</si>
  <si>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</si>
  <si>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</si>
  <si>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</si>
  <si>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</si>
  <si>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</si>
  <si>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</si>
  <si>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</si>
  <si>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</si>
  <si>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</si>
  <si>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</si>
  <si>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</si>
  <si>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</si>
  <si>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</si>
  <si>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</si>
  <si>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</si>
  <si>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</si>
  <si>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</si>
  <si>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</si>
  <si>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</si>
  <si>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</si>
  <si>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</si>
  <si>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</si>
  <si>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</si>
  <si>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</si>
  <si>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</si>
  <si>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</si>
  <si>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</si>
  <si>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</si>
  <si>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</si>
  <si>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</si>
  <si>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</si>
  <si>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</si>
  <si>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</si>
  <si>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</si>
  <si>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</si>
  <si>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</si>
  <si>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</si>
  <si>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</si>
  <si>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</si>
  <si>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</si>
  <si>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</si>
  <si>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</si>
  <si>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</si>
  <si>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</si>
  <si>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</si>
  <si>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</si>
  <si>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</si>
  <si>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</si>
  <si>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</si>
  <si>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</si>
  <si>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</si>
  <si>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</si>
  <si>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</si>
  <si>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</si>
  <si>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</si>
  <si>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</si>
  <si>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</si>
  <si>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</si>
  <si>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</si>
  <si>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</si>
  <si>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</si>
  <si>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</si>
  <si>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</si>
  <si>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</si>
  <si>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</si>
  <si>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</si>
  <si>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</si>
  <si>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</si>
  <si>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</si>
  <si>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</si>
  <si>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</si>
  <si>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</si>
  <si>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</si>
  <si>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</si>
  <si>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</si>
  <si>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</si>
  <si>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</si>
  <si>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</si>
  <si>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</si>
  <si>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</si>
  <si>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</si>
  <si>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</si>
  <si>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</si>
  <si>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</si>
  <si>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</si>
  <si>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</si>
  <si>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</si>
  <si>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</si>
  <si>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</si>
  <si>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</si>
  <si>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</si>
  <si>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</si>
  <si>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</si>
  <si>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</si>
  <si>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</si>
  <si>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</si>
  <si>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</si>
  <si>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</si>
  <si>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</si>
  <si>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</si>
  <si>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</si>
  <si>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</si>
  <si>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</si>
  <si>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</si>
  <si>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</si>
  <si>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</si>
  <si>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</si>
  <si>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</si>
  <si>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</si>
  <si>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</si>
  <si>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</si>
  <si>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</si>
  <si>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</si>
  <si>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</si>
  <si>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</si>
  <si>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</si>
  <si>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</si>
  <si>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</si>
  <si>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</si>
  <si>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</si>
  <si>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</si>
  <si>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</si>
  <si>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</si>
  <si>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</si>
  <si>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</si>
  <si>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</si>
  <si>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</si>
  <si>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</si>
  <si>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</si>
  <si>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</si>
  <si>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</si>
  <si>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</si>
  <si>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</si>
  <si>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</si>
  <si>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</si>
  <si>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</si>
  <si>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</si>
  <si>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</si>
  <si>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</si>
  <si>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</si>
  <si>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</si>
  <si>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</si>
  <si>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</si>
  <si>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</si>
  <si>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</si>
  <si>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</si>
  <si>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</si>
  <si>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</si>
  <si>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</si>
  <si>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</si>
  <si>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</si>
  <si>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</si>
  <si>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</si>
  <si>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</si>
  <si>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</si>
  <si>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</si>
  <si>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</si>
  <si>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</si>
  <si>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</si>
  <si>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</si>
  <si>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</si>
  <si>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</si>
  <si>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</si>
  <si>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</si>
  <si>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</si>
  <si>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</si>
  <si>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</si>
  <si>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</si>
  <si>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</si>
  <si>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</si>
  <si>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</si>
  <si>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</si>
  <si>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</si>
  <si>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</si>
  <si>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</si>
  <si>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</si>
  <si>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</si>
  <si>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</si>
  <si>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</si>
  <si>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</si>
  <si>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</si>
  <si>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</si>
  <si>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</si>
  <si>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</si>
  <si>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</si>
  <si>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</si>
  <si>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</si>
  <si>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</si>
  <si>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</si>
  <si>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</si>
  <si>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</si>
  <si>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</si>
  <si>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</si>
  <si>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</si>
  <si>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</si>
  <si>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</si>
  <si>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</si>
  <si>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</si>
  <si>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</si>
  <si>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</si>
  <si>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</si>
  <si>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</si>
  <si>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</si>
  <si>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</si>
  <si>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</si>
  <si>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</si>
  <si>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</si>
  <si>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</si>
  <si>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</si>
  <si>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</si>
  <si>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</si>
  <si>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</si>
  <si>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</si>
  <si>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</si>
  <si>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</si>
  <si>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</si>
  <si>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</si>
  <si>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</si>
  <si>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</si>
  <si>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</si>
  <si>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</si>
  <si>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</si>
  <si>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</si>
  <si>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</si>
  <si>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</si>
  <si>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</si>
  <si>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</si>
  <si>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</si>
  <si>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</si>
  <si>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</si>
  <si>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</si>
  <si>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</si>
  <si>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</si>
  <si>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</si>
  <si>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</si>
  <si>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</si>
  <si>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</si>
  <si>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</si>
  <si>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</si>
  <si>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</si>
  <si>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</si>
  <si>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</si>
  <si>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</si>
  <si>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</si>
  <si>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</si>
  <si>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</si>
  <si>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</si>
  <si>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</si>
  <si>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</si>
  <si>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</si>
  <si>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</si>
  <si>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</si>
  <si>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</si>
  <si>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</si>
  <si>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</si>
  <si>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</si>
  <si>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</si>
  <si>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</si>
  <si>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</si>
  <si>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</si>
  <si>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</si>
  <si>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</si>
  <si>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</si>
  <si>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</si>
  <si>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</si>
  <si>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</si>
  <si>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</si>
  <si>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</si>
  <si>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</si>
  <si>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</si>
  <si>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</si>
  <si>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</si>
  <si>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</si>
  <si>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</si>
  <si>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</si>
  <si>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</si>
  <si>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</si>
  <si>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</si>
  <si>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</si>
  <si>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</si>
  <si>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</si>
  <si>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</si>
  <si>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</si>
  <si>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</si>
  <si>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</si>
  <si>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</si>
  <si>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</si>
  <si>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</si>
  <si>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</si>
  <si>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</si>
  <si>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</si>
  <si>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</si>
  <si>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</si>
  <si>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</si>
  <si>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</si>
  <si>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</si>
  <si>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</si>
  <si>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</si>
  <si>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</si>
  <si>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</si>
  <si>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</si>
  <si>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</si>
  <si>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</si>
  <si>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</si>
  <si>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</si>
  <si>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</si>
  <si>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</si>
  <si>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</si>
  <si>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</si>
  <si>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</si>
  <si>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</si>
  <si>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</si>
  <si>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</si>
  <si>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</si>
  <si>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</si>
  <si>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</si>
  <si>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</si>
  <si>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</si>
  <si>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</si>
  <si>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</si>
  <si>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</si>
  <si>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</si>
  <si>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</si>
  <si>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</si>
  <si>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</si>
  <si>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</si>
  <si>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</si>
  <si>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</si>
  <si>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</si>
  <si>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</si>
  <si>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</si>
  <si>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</si>
  <si>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</si>
  <si>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</si>
  <si>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</si>
  <si>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</si>
  <si>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</si>
  <si>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</si>
  <si>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</si>
  <si>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</si>
  <si>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</si>
  <si>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</si>
  <si>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</si>
  <si>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</si>
  <si>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</si>
  <si>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</si>
  <si>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</si>
  <si>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</si>
  <si>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</si>
  <si>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</si>
  <si>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</si>
  <si>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</si>
  <si>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</si>
  <si>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</si>
  <si>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</si>
  <si>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</si>
  <si>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</si>
  <si>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</si>
  <si>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</si>
  <si>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</si>
  <si>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</si>
  <si>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</si>
  <si>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</si>
  <si>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</si>
  <si>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</si>
  <si>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</si>
  <si>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</si>
  <si>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</si>
  <si>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</si>
  <si>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</si>
  <si>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</si>
  <si>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</si>
  <si>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</si>
  <si>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</si>
  <si>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</si>
  <si>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</si>
  <si>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</si>
  <si>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</si>
  <si>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</si>
  <si>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</si>
  <si>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</si>
  <si>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</si>
  <si>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</si>
  <si>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</si>
  <si>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</si>
  <si>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</si>
  <si>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</si>
  <si>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</si>
  <si>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</si>
  <si>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</si>
  <si>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</si>
  <si>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</si>
  <si>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</si>
  <si>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</si>
  <si>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</si>
  <si>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</si>
  <si>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</si>
  <si>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</si>
  <si>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</si>
  <si>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</si>
  <si>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</si>
  <si>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</si>
  <si>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</si>
  <si>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</si>
  <si>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</si>
  <si>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</si>
  <si>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</si>
  <si>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</si>
  <si>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</si>
  <si>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</si>
  <si>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</si>
  <si>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</si>
  <si>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</si>
  <si>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</si>
  <si>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</si>
  <si>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</si>
  <si>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</si>
  <si>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</si>
  <si>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</si>
  <si>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</si>
  <si>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</si>
  <si>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</si>
  <si>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</si>
  <si>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</si>
  <si>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</si>
  <si>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</si>
  <si>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</si>
  <si>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</si>
  <si>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</si>
  <si>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</si>
  <si>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</si>
  <si>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</si>
  <si>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</si>
  <si>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</si>
  <si>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</si>
  <si>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</si>
  <si>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</si>
  <si>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</si>
  <si>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</si>
  <si>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</si>
  <si>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</si>
  <si>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</si>
  <si>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</si>
  <si>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</si>
  <si>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</si>
  <si>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</si>
  <si>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</si>
  <si>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</si>
  <si>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</si>
  <si>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</si>
  <si>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</si>
  <si>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</si>
  <si>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</si>
  <si>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</si>
  <si>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</si>
  <si>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</si>
  <si>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</si>
  <si>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</si>
  <si>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</si>
  <si>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</si>
  <si>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</si>
  <si>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</si>
  <si>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</si>
  <si>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</si>
  <si>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</si>
  <si>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</si>
  <si>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</si>
  <si>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</si>
  <si>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</si>
  <si>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</si>
  <si>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</si>
  <si>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</si>
  <si>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</si>
  <si>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</si>
  <si>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</si>
  <si>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</si>
  <si>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</si>
  <si>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</si>
  <si>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</si>
  <si>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</si>
  <si>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</si>
  <si>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</si>
  <si>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</si>
  <si>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</si>
  <si>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</si>
  <si>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</si>
  <si>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</si>
  <si>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</si>
  <si>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</si>
  <si>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</si>
  <si>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</si>
  <si>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</si>
  <si>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</si>
  <si>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</si>
  <si>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</si>
  <si>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</si>
  <si>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</si>
  <si>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</si>
  <si>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</si>
  <si>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</si>
  <si>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</si>
  <si>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</si>
  <si>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</si>
  <si>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</si>
  <si>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</si>
  <si>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</si>
  <si>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</si>
  <si>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</si>
  <si>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</si>
  <si>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</si>
  <si>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</si>
  <si>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</si>
  <si>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</si>
  <si>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</si>
  <si>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</si>
  <si>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</si>
  <si>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</si>
  <si>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</si>
  <si>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</si>
  <si>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</si>
  <si>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</si>
  <si>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</si>
  <si>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</si>
  <si>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</si>
  <si>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</si>
  <si>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</si>
  <si>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</si>
  <si>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</si>
  <si>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</si>
  <si>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</si>
  <si>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</si>
  <si>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</si>
  <si>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</si>
  <si>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</si>
  <si>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</si>
  <si>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</si>
  <si>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</si>
  <si>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</si>
  <si>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</si>
  <si>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</si>
  <si>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</si>
  <si>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</si>
  <si>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</si>
  <si>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</si>
  <si>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</si>
  <si>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</si>
  <si>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</si>
  <si>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</si>
  <si>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</si>
  <si>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</si>
  <si>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</si>
  <si>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</si>
  <si>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</si>
  <si>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</si>
  <si>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</si>
  <si>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</si>
  <si>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</si>
  <si>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</si>
  <si>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</si>
  <si>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</si>
  <si>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</si>
  <si>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</si>
  <si>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</si>
  <si>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</si>
  <si>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</si>
  <si>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</si>
  <si>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</si>
  <si>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</si>
  <si>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</si>
  <si>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</si>
  <si>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</si>
  <si>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</si>
  <si>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</si>
  <si>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</si>
  <si>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</si>
  <si>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</si>
  <si>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</si>
  <si>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</si>
  <si>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</si>
  <si>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</si>
  <si>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</si>
  <si>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</si>
  <si>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</si>
  <si>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</si>
  <si>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</si>
  <si>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</si>
  <si>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</si>
  <si>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</si>
  <si>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</si>
  <si>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</si>
  <si>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</si>
  <si>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</si>
  <si>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</si>
  <si>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</si>
  <si>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</si>
  <si>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</si>
  <si>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</si>
  <si>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</si>
  <si>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</si>
  <si>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</si>
  <si>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</si>
  <si>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</si>
  <si>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</si>
  <si>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</si>
  <si>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</si>
  <si>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</si>
  <si>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</si>
  <si>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</si>
  <si>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</si>
  <si>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</si>
  <si>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</si>
  <si>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</si>
  <si>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</si>
  <si>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</si>
  <si>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</si>
  <si>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</si>
  <si>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</si>
  <si>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</si>
  <si>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</si>
  <si>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</si>
  <si>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</si>
  <si>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</si>
  <si>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</si>
  <si>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</si>
  <si>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</si>
  <si>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</si>
  <si>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</si>
  <si>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</si>
  <si>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</si>
  <si>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</si>
  <si>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</si>
  <si>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</si>
  <si>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</si>
  <si>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</si>
  <si>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</si>
  <si>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</si>
  <si>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</si>
  <si>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</si>
  <si>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</si>
  <si>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</si>
  <si>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</si>
  <si>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</si>
  <si>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</si>
  <si>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</si>
  <si>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</si>
  <si>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</si>
  <si>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</si>
  <si>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</si>
  <si>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</si>
  <si>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</si>
  <si>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</si>
  <si>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</si>
  <si>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</si>
  <si>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</si>
  <si>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</si>
  <si>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</si>
  <si>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</si>
  <si>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</si>
  <si>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</si>
  <si>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</si>
  <si>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</si>
  <si>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</si>
  <si>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</si>
  <si>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</si>
  <si>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</si>
  <si>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</si>
  <si>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</si>
  <si>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</si>
  <si>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</si>
  <si>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</si>
  <si>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</si>
  <si>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</si>
  <si>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</si>
  <si>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</si>
  <si>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</si>
  <si>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</si>
  <si>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</si>
  <si>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</si>
  <si>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</si>
  <si>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</si>
  <si>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</si>
  <si>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</si>
  <si>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</si>
  <si>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</si>
  <si>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</si>
  <si>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</si>
  <si>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</si>
  <si>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</si>
  <si>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</si>
  <si>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</si>
  <si>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</si>
  <si>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</si>
  <si>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</si>
  <si>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</si>
  <si>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</si>
  <si>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</si>
  <si>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</si>
  <si>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</si>
  <si>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</si>
  <si>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</si>
  <si>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</si>
  <si>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</si>
  <si>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</si>
  <si>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</si>
  <si>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</si>
  <si>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</si>
  <si>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</si>
  <si>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</si>
  <si>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</si>
  <si>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</si>
  <si>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</si>
  <si>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</si>
  <si>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</si>
  <si>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</si>
  <si>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</si>
  <si>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</si>
  <si>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</si>
  <si>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</si>
  <si>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</si>
  <si>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</si>
  <si>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</si>
  <si>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</si>
  <si>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</si>
  <si>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</si>
  <si>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</si>
  <si>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</si>
  <si>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</si>
  <si>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</si>
  <si>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</si>
  <si>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</si>
  <si>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</si>
  <si>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</si>
  <si>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</si>
  <si>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</si>
  <si>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</si>
  <si>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</si>
  <si>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</si>
  <si>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</si>
  <si>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</si>
  <si>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</si>
  <si>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</si>
  <si>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</si>
  <si>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</si>
  <si>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</si>
  <si>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</si>
  <si>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</si>
  <si>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</si>
  <si>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</si>
  <si>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</si>
  <si>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</si>
  <si>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</si>
  <si>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</si>
  <si>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</si>
  <si>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</si>
  <si>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</si>
  <si>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</si>
  <si>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</si>
  <si>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</si>
  <si>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</si>
  <si>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</si>
  <si>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</si>
  <si>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</si>
  <si>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</si>
  <si>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</si>
  <si>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</si>
  <si>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</si>
  <si>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</si>
  <si>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</si>
  <si>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</si>
  <si>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</si>
  <si>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</si>
  <si>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</si>
  <si>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</si>
  <si>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</si>
  <si>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</si>
  <si>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</si>
  <si>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</si>
  <si>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</si>
  <si>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</si>
  <si>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</si>
  <si>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</si>
  <si>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</si>
  <si>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</si>
  <si>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</si>
  <si>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</si>
  <si>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</si>
  <si>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</si>
  <si>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</si>
  <si>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</si>
  <si>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</si>
  <si>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</si>
  <si>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</si>
  <si>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</si>
  <si>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</si>
  <si>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</si>
  <si>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</si>
  <si>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</si>
  <si>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</si>
  <si>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</si>
  <si>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</si>
  <si>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</si>
  <si>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</si>
  <si>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</si>
  <si>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</si>
  <si>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</si>
  <si>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</si>
  <si>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</si>
  <si>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</si>
  <si>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</si>
  <si>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</si>
  <si>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</si>
  <si>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</si>
  <si>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</si>
  <si>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</si>
  <si>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</si>
  <si>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</si>
  <si>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</si>
  <si>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</si>
  <si>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</si>
  <si>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</si>
  <si>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</si>
  <si>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</si>
  <si>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</si>
  <si>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</si>
  <si>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</si>
  <si>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</si>
  <si>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</si>
  <si>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</si>
  <si>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</si>
  <si>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</si>
  <si>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</si>
  <si>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</si>
  <si>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</si>
  <si>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</si>
  <si>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</si>
  <si>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</si>
  <si>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</si>
  <si>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</si>
  <si>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</si>
  <si>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</si>
  <si>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</si>
  <si>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</si>
  <si>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</si>
  <si>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</si>
  <si>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</si>
  <si>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</si>
  <si>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</si>
  <si>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</si>
  <si>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</si>
  <si>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</si>
  <si>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</si>
  <si>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</si>
  <si>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</si>
  <si>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</si>
  <si>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</si>
  <si>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</si>
  <si>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</si>
  <si>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</si>
  <si>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</si>
  <si>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</si>
  <si>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</si>
  <si>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</si>
  <si>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</si>
  <si>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</si>
  <si>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</si>
  <si>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</si>
  <si>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</si>
  <si>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</si>
  <si>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</si>
  <si>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</si>
  <si>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</si>
  <si>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</si>
  <si>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</si>
  <si>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</si>
  <si>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</si>
  <si>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</si>
  <si>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</si>
  <si>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</si>
  <si>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</si>
  <si>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</si>
  <si>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</si>
  <si>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</si>
  <si>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</si>
  <si>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</si>
  <si>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</si>
  <si>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</si>
  <si>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</si>
  <si>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</si>
  <si>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</si>
  <si>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</si>
  <si>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</si>
  <si>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</si>
  <si>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</si>
  <si>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</si>
  <si>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</si>
  <si>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</si>
  <si>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</si>
  <si>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</si>
  <si>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</si>
  <si>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</si>
  <si>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</si>
  <si>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</si>
  <si>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</si>
  <si>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</si>
  <si>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</si>
  <si>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</si>
  <si>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</si>
  <si>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</si>
  <si>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</si>
  <si>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</si>
  <si>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</si>
  <si>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</si>
  <si>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</si>
  <si>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</si>
  <si>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</si>
  <si>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</si>
  <si>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</si>
  <si>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</si>
  <si>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</si>
  <si>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</si>
  <si>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</si>
  <si>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</si>
  <si>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</si>
  <si>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</si>
  <si>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</si>
  <si>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</si>
  <si>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</si>
  <si>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</si>
  <si>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</si>
  <si>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</si>
  <si>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</si>
  <si>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</si>
  <si>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</si>
  <si>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</si>
  <si>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</si>
  <si>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</si>
  <si>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</si>
  <si>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</si>
  <si>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</si>
  <si>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</si>
  <si>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</si>
  <si>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</si>
  <si>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</si>
  <si>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</si>
  <si>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</si>
  <si>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</si>
  <si>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</si>
  <si>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</si>
  <si>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</si>
  <si>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</si>
  <si>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</si>
  <si>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</si>
  <si>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</si>
  <si>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</si>
  <si>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</si>
  <si>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</si>
  <si>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</si>
  <si>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</si>
  <si>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</si>
  <si>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</si>
  <si>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</si>
  <si>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</si>
  <si>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</si>
  <si>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</si>
  <si>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</si>
  <si>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</si>
  <si>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</si>
  <si>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</si>
  <si>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</si>
  <si>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</si>
  <si>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</si>
  <si>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</si>
  <si>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</si>
  <si>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</si>
  <si>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</si>
  <si>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</si>
  <si>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</si>
  <si>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</si>
  <si>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</si>
  <si>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</si>
  <si>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</si>
  <si>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</si>
  <si>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</si>
  <si>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</si>
  <si>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</si>
  <si>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</si>
  <si>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</si>
  <si>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</si>
  <si>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</si>
  <si>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</si>
  <si>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</si>
  <si>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</si>
  <si>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</si>
  <si>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</si>
  <si>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</si>
  <si>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</si>
  <si>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</si>
  <si>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</si>
  <si>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</si>
  <si>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</si>
  <si>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</si>
  <si>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</si>
  <si>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</si>
  <si>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</si>
  <si>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</si>
  <si>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</si>
  <si>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</si>
  <si>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</si>
  <si>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</si>
  <si>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</si>
  <si>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</si>
  <si>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</si>
  <si>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</si>
  <si>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</si>
  <si>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</si>
  <si>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</si>
  <si>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</si>
  <si>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</si>
  <si>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</si>
  <si>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</si>
  <si>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</si>
  <si>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</si>
  <si>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</si>
  <si>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</si>
  <si>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</si>
  <si>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</si>
  <si>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</si>
  <si>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</si>
  <si>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</si>
  <si>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</si>
  <si>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</si>
  <si>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</si>
  <si>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</si>
  <si>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</si>
  <si>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</si>
  <si>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</si>
  <si>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</si>
  <si>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</si>
  <si>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</si>
  <si>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</si>
  <si>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</si>
  <si>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</si>
  <si>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</si>
  <si>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</si>
  <si>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</si>
  <si>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</si>
  <si>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</si>
  <si>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</si>
  <si>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</si>
  <si>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</si>
  <si>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</si>
  <si>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</si>
  <si>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</si>
  <si>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</si>
  <si>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</si>
  <si>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</si>
  <si>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</si>
  <si>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</si>
  <si>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</si>
  <si>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</si>
  <si>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</si>
  <si>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</si>
  <si>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</si>
  <si>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</si>
  <si>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</si>
  <si>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</si>
  <si>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</si>
  <si>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</si>
  <si>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</si>
  <si>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</si>
  <si>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</si>
  <si>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</si>
  <si>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</si>
  <si>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</si>
  <si>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</si>
  <si>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</si>
  <si>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</si>
  <si>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</si>
  <si>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</si>
  <si>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</si>
  <si>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</si>
  <si>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</si>
  <si>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</si>
  <si>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</si>
  <si>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</si>
  <si>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</si>
  <si>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</si>
  <si>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</si>
  <si>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</si>
  <si>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</si>
  <si>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</si>
  <si>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</si>
  <si>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</si>
  <si>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</si>
  <si>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</si>
  <si>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</si>
  <si>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</si>
  <si>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</si>
  <si>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</si>
  <si>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</si>
  <si>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</si>
  <si>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</si>
  <si>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</si>
  <si>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</si>
  <si>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</si>
  <si>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</si>
  <si>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</si>
  <si>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</si>
  <si>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</si>
  <si>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</si>
  <si>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</si>
  <si>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</si>
  <si>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</si>
  <si>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</si>
  <si>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</si>
  <si>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</si>
  <si>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</si>
  <si>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</si>
  <si>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</si>
  <si>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</si>
  <si>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</si>
  <si>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</si>
  <si>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</si>
  <si>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</si>
  <si>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</si>
  <si>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</si>
  <si>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</si>
  <si>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</si>
  <si>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</si>
  <si>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</si>
  <si>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</si>
  <si>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</si>
  <si>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</si>
  <si>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</si>
  <si>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</si>
  <si>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</si>
  <si>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</si>
  <si>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</si>
  <si>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</si>
  <si>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</si>
  <si>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</si>
  <si>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</si>
  <si>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</si>
  <si>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</si>
  <si>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</si>
  <si>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</si>
  <si>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</si>
  <si>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</si>
  <si>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</si>
  <si>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</si>
  <si>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</si>
  <si>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</si>
  <si>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</si>
  <si>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</si>
  <si>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</si>
  <si>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</si>
  <si>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</si>
  <si>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</si>
  <si>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</si>
  <si>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</si>
  <si>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</si>
  <si>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</si>
  <si>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</si>
  <si>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</si>
  <si>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</si>
  <si>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</si>
  <si>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</si>
  <si>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</si>
  <si>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</si>
  <si>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</si>
  <si>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</si>
  <si>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</si>
  <si>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</si>
  <si>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</si>
  <si>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</si>
  <si>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</si>
  <si>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</si>
  <si>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</si>
  <si>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</si>
  <si>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</si>
  <si>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</si>
  <si>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</si>
  <si>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</si>
  <si>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</si>
  <si>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</si>
  <si>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</si>
  <si>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</si>
  <si>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</si>
  <si>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</si>
  <si>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</si>
  <si>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</si>
  <si>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</si>
  <si>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</si>
  <si>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</si>
  <si>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</si>
  <si>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</si>
  <si>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</si>
  <si>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</si>
  <si>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</si>
  <si>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</si>
  <si>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</si>
  <si>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</si>
  <si>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</si>
  <si>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</si>
  <si>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</si>
  <si>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</si>
  <si>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</si>
  <si>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</si>
  <si>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</si>
  <si>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</si>
  <si>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</si>
  <si>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</si>
  <si>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</si>
  <si>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</si>
  <si>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</si>
  <si>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</si>
  <si>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</si>
  <si>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</si>
  <si>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</si>
  <si>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</si>
  <si>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</si>
  <si>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</si>
  <si>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</si>
  <si>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</si>
  <si>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</si>
  <si>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</si>
  <si>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</si>
  <si>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</si>
  <si>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</si>
  <si>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</si>
  <si>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</si>
  <si>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</si>
  <si>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</si>
  <si>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</si>
  <si>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</si>
  <si>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</si>
  <si>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</si>
  <si>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</si>
  <si>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</si>
  <si>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</si>
  <si>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</si>
  <si>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</si>
  <si>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</si>
  <si>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</si>
  <si>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</si>
  <si>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</si>
  <si>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</si>
  <si>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</si>
  <si>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</si>
  <si>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</si>
  <si>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</si>
  <si>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</si>
  <si>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</si>
  <si>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</si>
  <si>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</si>
  <si>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</si>
  <si>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</si>
  <si>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</si>
  <si>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</si>
  <si>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</si>
  <si>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</si>
  <si>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</si>
  <si>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</si>
  <si>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</si>
  <si>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</si>
  <si>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</si>
  <si>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</si>
  <si>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</si>
  <si>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</si>
  <si>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</si>
  <si>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</si>
  <si>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</si>
  <si>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</si>
  <si>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</si>
  <si>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</si>
  <si>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</si>
  <si>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</si>
  <si>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</si>
  <si>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</si>
  <si>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</si>
  <si>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</si>
  <si>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</si>
  <si>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</si>
  <si>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</si>
  <si>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</si>
  <si>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</si>
  <si>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</si>
  <si>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</si>
  <si>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</si>
  <si>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</si>
  <si>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</si>
  <si>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</si>
  <si>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</si>
  <si>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</si>
  <si>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</si>
  <si>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</si>
  <si>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</si>
  <si>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</si>
  <si>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</si>
  <si>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</si>
  <si>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</si>
  <si>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</si>
  <si>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</si>
  <si>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</si>
  <si>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</si>
  <si>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</si>
  <si>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</si>
  <si>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</si>
  <si>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</si>
  <si>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</si>
  <si>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</si>
  <si>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</si>
  <si>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</si>
  <si>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</si>
  <si>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</si>
  <si>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</si>
  <si>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</si>
  <si>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</si>
  <si>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</si>
  <si>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</si>
  <si>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</si>
  <si>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</si>
  <si>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</si>
  <si>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</si>
  <si>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</si>
  <si>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</si>
  <si>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</si>
  <si>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</si>
  <si>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</si>
  <si>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</si>
  <si>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</si>
  <si>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</si>
  <si>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</si>
  <si>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</si>
  <si>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</si>
  <si>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</si>
  <si>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</si>
  <si>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</si>
  <si>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</si>
  <si>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</si>
  <si>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</si>
  <si>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</si>
  <si>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</si>
  <si>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</si>
  <si>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</si>
  <si>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</si>
  <si>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</si>
  <si>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</si>
  <si>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</si>
  <si>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</si>
  <si>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</si>
  <si>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</si>
  <si>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</si>
  <si>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</si>
  <si>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</si>
  <si>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</si>
  <si>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</si>
  <si>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</si>
  <si>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</si>
  <si>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</si>
  <si>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</si>
  <si>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</si>
  <si>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</si>
  <si>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</si>
  <si>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</si>
  <si>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</si>
  <si>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</si>
  <si>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</si>
  <si>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</si>
  <si>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</si>
  <si>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</si>
  <si>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</si>
  <si>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</si>
  <si>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</si>
  <si>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</si>
  <si>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</si>
  <si>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</si>
  <si>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</si>
  <si>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</si>
  <si>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</si>
  <si>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</si>
  <si>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</si>
  <si>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</si>
  <si>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</si>
  <si>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</si>
  <si>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</si>
  <si>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</si>
  <si>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</si>
  <si>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</si>
  <si>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</si>
  <si>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</si>
  <si>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</si>
  <si>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</si>
  <si>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</si>
  <si>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</si>
  <si>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</si>
  <si>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</si>
  <si>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</si>
  <si>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</si>
  <si>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</si>
  <si>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</si>
  <si>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</si>
  <si>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</si>
  <si>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</si>
  <si>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</si>
  <si>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</si>
  <si>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</si>
  <si>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</si>
  <si>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</si>
  <si>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</si>
  <si>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</si>
  <si>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</si>
  <si>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</si>
  <si>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</si>
  <si>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</si>
  <si>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</si>
  <si>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</si>
  <si>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</si>
  <si>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</si>
  <si>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</si>
  <si>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</si>
  <si>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</si>
  <si>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</si>
  <si>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</si>
  <si>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</si>
  <si>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</si>
  <si>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</si>
  <si>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</si>
  <si>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</si>
  <si>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</si>
  <si>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</si>
  <si>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</si>
  <si>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</si>
  <si>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</si>
  <si>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</si>
  <si>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</si>
  <si>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</si>
  <si>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</si>
  <si>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</si>
  <si>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</si>
  <si>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</si>
  <si>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</si>
  <si>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</si>
  <si>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</si>
  <si>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</si>
  <si>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</si>
  <si>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</si>
  <si>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</si>
  <si>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</si>
  <si>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</si>
  <si>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</si>
  <si>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</si>
  <si>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</si>
  <si>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</si>
  <si>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</si>
  <si>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</si>
  <si>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</si>
  <si>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</si>
  <si>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</si>
  <si>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</si>
  <si>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</si>
  <si>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</si>
  <si>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</si>
  <si>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</si>
  <si>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</si>
  <si>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</si>
  <si>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</si>
  <si>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</si>
  <si>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</si>
  <si>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</si>
  <si>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</si>
  <si>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</si>
  <si>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</si>
  <si>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</si>
  <si>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</si>
  <si>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</si>
  <si>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</si>
  <si>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</si>
  <si>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</si>
  <si>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</si>
  <si>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</si>
  <si>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</si>
  <si>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</si>
  <si>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</si>
  <si>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</si>
  <si>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</si>
  <si>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</si>
  <si>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</si>
  <si>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</si>
  <si>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</si>
  <si>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</si>
  <si>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</si>
  <si>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</si>
  <si>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</si>
  <si>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</si>
  <si>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</si>
  <si>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</si>
  <si>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</si>
  <si>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</si>
  <si>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</si>
  <si>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</si>
  <si>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</si>
  <si>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</si>
  <si>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</si>
  <si>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</si>
  <si>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</si>
  <si>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</si>
  <si>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</si>
  <si>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</si>
  <si>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</si>
  <si>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</si>
  <si>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</si>
  <si>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</si>
  <si>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</si>
  <si>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</si>
  <si>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</si>
  <si>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</si>
  <si>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</si>
  <si>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</si>
  <si>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</si>
  <si>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</si>
  <si>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</si>
  <si>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</si>
  <si>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</si>
  <si>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</si>
  <si>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</si>
  <si>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</si>
  <si>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</si>
  <si>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</si>
  <si>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</si>
  <si>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</si>
  <si>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</si>
  <si>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</si>
  <si>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</si>
  <si>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</si>
  <si>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</si>
  <si>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</si>
  <si>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</si>
  <si>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</si>
  <si>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</si>
  <si>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</si>
  <si>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</si>
  <si>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</si>
  <si>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</si>
  <si>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</si>
  <si>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</si>
  <si>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</si>
  <si>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</si>
  <si>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</si>
  <si>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</si>
  <si>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</si>
  <si>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</si>
  <si>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</si>
  <si>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</si>
  <si>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</si>
  <si>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</si>
  <si>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</si>
  <si>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</si>
  <si>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</si>
  <si>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</si>
  <si>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</si>
  <si>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</si>
  <si>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</si>
  <si>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</si>
  <si>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</si>
  <si>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</si>
  <si>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</si>
  <si>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</si>
  <si>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</si>
  <si>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</si>
  <si>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</si>
  <si>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</si>
  <si>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</si>
  <si>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</si>
  <si>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</si>
  <si>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</si>
  <si>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</si>
  <si>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</si>
  <si>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</si>
  <si>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</si>
  <si>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</si>
  <si>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</si>
  <si>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</si>
  <si>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</si>
  <si>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</si>
  <si>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</si>
  <si>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</si>
  <si>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</si>
  <si>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</si>
  <si>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</si>
  <si>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</si>
  <si>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</si>
  <si>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</si>
  <si>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</si>
  <si>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</si>
  <si>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</si>
  <si>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</si>
  <si>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</si>
  <si>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</si>
  <si>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</si>
  <si>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</si>
  <si>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</si>
  <si>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</si>
  <si>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</si>
  <si>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</si>
  <si>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</si>
  <si>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</si>
  <si>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</si>
  <si>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</si>
  <si>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</si>
  <si>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</si>
  <si>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</si>
  <si>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</si>
  <si>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</si>
  <si>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</si>
  <si>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</si>
  <si>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</si>
  <si>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</si>
  <si>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</si>
  <si>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</si>
  <si>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</si>
  <si>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</si>
  <si>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</si>
  <si>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</si>
  <si>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</si>
  <si>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</si>
  <si>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</si>
  <si>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</si>
  <si>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</si>
  <si>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</si>
  <si>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</si>
  <si>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</si>
  <si>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</si>
  <si>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</si>
  <si>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</si>
  <si>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</si>
  <si>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</si>
  <si>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</si>
  <si>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</si>
  <si>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</si>
  <si>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</si>
  <si>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</si>
  <si>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</si>
  <si>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</si>
  <si>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</si>
  <si>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</si>
  <si>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</si>
  <si>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</si>
  <si>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</si>
  <si>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</si>
  <si>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</si>
  <si>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</si>
  <si>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</si>
  <si>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</si>
  <si>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</si>
  <si>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</si>
  <si>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</si>
  <si>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</si>
  <si>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</si>
  <si>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</si>
  <si>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</si>
  <si>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</si>
  <si>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</si>
  <si>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</si>
  <si>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</si>
  <si>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</si>
  <si>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</si>
  <si>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</si>
  <si>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</si>
  <si>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</si>
  <si>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</si>
  <si>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</si>
  <si>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</si>
  <si>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</si>
  <si>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</si>
  <si>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</si>
  <si>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</si>
  <si>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</si>
  <si>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</si>
  <si>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</si>
  <si>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</si>
  <si>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</si>
  <si>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</si>
  <si>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</si>
  <si>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</si>
  <si>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</si>
  <si>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</si>
  <si>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</si>
  <si>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</si>
  <si>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</si>
  <si>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</si>
  <si>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</si>
  <si>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</si>
  <si>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</si>
  <si>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</si>
  <si>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</si>
  <si>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</si>
  <si>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</si>
  <si>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</si>
  <si>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</si>
  <si>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</si>
  <si>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</si>
  <si>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</si>
  <si>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</si>
  <si>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</si>
  <si>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</si>
  <si>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</si>
  <si>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</si>
  <si>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</si>
  <si>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</si>
  <si>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</si>
  <si>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</si>
  <si>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</si>
  <si>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</si>
  <si>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</si>
  <si>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</si>
  <si>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</si>
  <si>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</si>
  <si>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</si>
  <si>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</si>
  <si>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</si>
  <si>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</si>
  <si>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</si>
  <si>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</si>
  <si>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</si>
  <si>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</si>
  <si>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</si>
  <si>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</si>
  <si>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</si>
  <si>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</si>
  <si>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</si>
  <si>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</si>
  <si>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</si>
  <si>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</si>
  <si>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</si>
  <si>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</si>
  <si>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</si>
  <si>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</si>
  <si>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</si>
  <si>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</si>
  <si>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</si>
  <si>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</si>
  <si>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</si>
  <si>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</si>
  <si>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</si>
  <si>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</si>
  <si>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</si>
  <si>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</si>
  <si>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</si>
  <si>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</si>
  <si>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</si>
  <si>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</si>
  <si>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</si>
  <si>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</si>
  <si>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</si>
  <si>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</si>
  <si>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</si>
  <si>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</si>
  <si>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</si>
  <si>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</si>
  <si>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</si>
  <si>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</si>
  <si>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</si>
  <si>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</si>
  <si>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</si>
  <si>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</si>
  <si>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</si>
  <si>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</si>
  <si>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</si>
  <si>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</si>
  <si>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</si>
  <si>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</si>
  <si>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</si>
  <si>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</si>
  <si>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</si>
  <si>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</si>
  <si>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</si>
  <si>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</si>
  <si>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</si>
  <si>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</si>
  <si>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</si>
  <si>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</si>
  <si>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</si>
  <si>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</si>
  <si>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</si>
  <si>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</si>
  <si>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</si>
  <si>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</si>
  <si>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</si>
  <si>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</si>
  <si>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</si>
  <si>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</si>
  <si>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</si>
  <si>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</si>
  <si>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</si>
  <si>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</si>
  <si>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</si>
  <si>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</si>
  <si>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</si>
  <si>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</si>
  <si>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</si>
  <si>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</si>
  <si>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</si>
  <si>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</si>
  <si>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</si>
  <si>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</si>
  <si>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</si>
  <si>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</si>
  <si>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</si>
  <si>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</si>
  <si>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</si>
  <si>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</si>
  <si>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</si>
  <si>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</si>
  <si>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</si>
  <si>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</si>
  <si>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</si>
  <si>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</si>
  <si>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</si>
  <si>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</si>
  <si>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</si>
  <si>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</si>
  <si>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</si>
  <si>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</si>
  <si>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</si>
  <si>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</si>
  <si>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</si>
  <si>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</si>
  <si>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</si>
  <si>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</si>
  <si>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</si>
  <si>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</si>
  <si>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</si>
  <si>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</si>
  <si>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</si>
  <si>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</si>
  <si>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</si>
  <si>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</si>
  <si>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</si>
  <si>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</si>
  <si>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</si>
  <si>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</si>
  <si>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</si>
  <si>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</si>
  <si>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</si>
  <si>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</si>
  <si>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</si>
  <si>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</si>
  <si>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</si>
  <si>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</si>
  <si>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</si>
  <si>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</si>
  <si>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</si>
  <si>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</si>
  <si>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</si>
  <si>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</si>
  <si>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</si>
  <si>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</si>
  <si>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</si>
  <si>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</si>
  <si>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</si>
  <si>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</si>
  <si>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</si>
  <si>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</si>
  <si>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</si>
  <si>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</si>
  <si>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</si>
  <si>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</si>
  <si>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</si>
  <si>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</si>
  <si>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</si>
  <si>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</si>
  <si>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</si>
  <si>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</si>
  <si>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</si>
  <si>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</si>
  <si>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</si>
  <si>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</si>
  <si>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</si>
  <si>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</si>
  <si>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</si>
  <si>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</si>
  <si>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</si>
  <si>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</si>
  <si>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</si>
  <si>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</si>
  <si>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</si>
  <si>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</si>
  <si>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</si>
  <si>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</si>
  <si>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</si>
  <si>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</si>
  <si>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</si>
  <si>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</si>
  <si>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</si>
  <si>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</si>
  <si>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</si>
  <si>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</si>
  <si>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</si>
  <si>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</si>
  <si>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</si>
  <si>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</si>
  <si>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</si>
  <si>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</si>
  <si>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</si>
  <si>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</si>
  <si>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</si>
  <si>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</si>
  <si>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</si>
  <si>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</si>
  <si>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</si>
  <si>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</si>
  <si>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</si>
  <si>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</si>
  <si>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</si>
  <si>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</si>
  <si>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</si>
  <si>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</si>
  <si>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</si>
  <si>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</si>
  <si>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</si>
  <si>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</si>
  <si>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</si>
  <si>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</si>
  <si>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</si>
  <si>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</si>
  <si>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</si>
  <si>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</si>
  <si>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</si>
  <si>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</si>
  <si>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</si>
  <si>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</si>
  <si>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</si>
  <si>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</si>
  <si>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</si>
  <si>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</si>
  <si>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</si>
  <si>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</si>
  <si>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</si>
  <si>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</si>
  <si>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</si>
  <si>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</si>
  <si>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</si>
  <si>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</si>
  <si>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</si>
  <si>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</si>
  <si>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</si>
  <si>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</si>
  <si>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</si>
  <si>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</si>
  <si>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</si>
  <si>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</si>
  <si>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</si>
  <si>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</si>
  <si>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</si>
  <si>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</si>
  <si>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</si>
  <si>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</si>
  <si>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</si>
  <si>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</si>
  <si>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</si>
  <si>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</si>
  <si>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</si>
  <si>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</si>
  <si>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</si>
  <si>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</si>
  <si>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</si>
  <si>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</si>
  <si>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</si>
  <si>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</si>
  <si>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</si>
  <si>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</si>
  <si>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</si>
  <si>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</si>
  <si>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</si>
  <si>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</si>
  <si>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</si>
  <si>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</si>
  <si>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</si>
  <si>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</si>
  <si>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</si>
  <si>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</si>
  <si>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</si>
  <si>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</si>
  <si>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</si>
  <si>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</si>
  <si>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</si>
  <si>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</si>
  <si>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</si>
  <si>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</si>
  <si>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</si>
  <si>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</si>
  <si>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</si>
  <si>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</si>
  <si>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</si>
  <si>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</si>
  <si>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</si>
  <si>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</si>
  <si>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</si>
  <si>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</si>
  <si>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</si>
  <si>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</si>
  <si>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</si>
  <si>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</si>
  <si>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</si>
  <si>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</si>
  <si>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</si>
  <si>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</si>
  <si>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</si>
  <si>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</si>
  <si>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</si>
  <si>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</si>
  <si>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</si>
  <si>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</si>
  <si>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</si>
  <si>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</si>
  <si>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</si>
  <si>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</si>
  <si>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</si>
  <si>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</si>
  <si>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</si>
  <si>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</si>
  <si>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</si>
  <si>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</si>
  <si>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</si>
  <si>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</si>
  <si>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</si>
  <si>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</si>
  <si>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</si>
  <si>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</si>
  <si>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</si>
  <si>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</si>
  <si>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</si>
  <si>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</si>
  <si>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</si>
  <si>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</si>
  <si>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</si>
  <si>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</si>
  <si>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</si>
  <si>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</si>
  <si>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</si>
  <si>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</si>
  <si>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</si>
  <si>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</si>
  <si>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</si>
  <si>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</si>
  <si>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</si>
  <si>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</si>
  <si>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</si>
  <si>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</si>
  <si>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</si>
  <si>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</si>
  <si>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</si>
  <si>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</si>
  <si>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</si>
  <si>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</si>
  <si>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</si>
  <si>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</si>
  <si>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</si>
  <si>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</si>
  <si>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</si>
  <si>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</si>
  <si>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</si>
  <si>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</si>
  <si>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</si>
  <si>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</si>
  <si>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</si>
  <si>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</si>
  <si>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</si>
  <si>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</si>
  <si>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</si>
  <si>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</si>
  <si>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</si>
  <si>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</si>
  <si>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</si>
  <si>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</si>
  <si>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</si>
  <si>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</si>
  <si>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</si>
  <si>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</si>
  <si>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</si>
  <si>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</si>
  <si>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</si>
  <si>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</si>
  <si>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</si>
  <si>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</si>
  <si>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</si>
  <si>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</si>
  <si>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</si>
  <si>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</si>
  <si>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</si>
  <si>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</si>
  <si>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</si>
  <si>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</si>
  <si>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</si>
  <si>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</si>
  <si>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</si>
  <si>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</si>
  <si>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</si>
  <si>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</si>
  <si>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</si>
  <si>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</si>
  <si>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</si>
  <si>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</si>
  <si>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</si>
  <si>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</si>
  <si>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</si>
  <si>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</si>
  <si>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</si>
  <si>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</si>
  <si>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</si>
  <si>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</si>
  <si>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</si>
  <si>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</si>
  <si>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</si>
  <si>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</si>
  <si>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</si>
  <si>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</si>
  <si>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</si>
  <si>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</si>
  <si>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</si>
  <si>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</si>
  <si>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</si>
  <si>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</si>
  <si>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</si>
  <si>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</si>
  <si>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</si>
  <si>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</si>
  <si>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</si>
  <si>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</si>
  <si>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</si>
  <si>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</si>
  <si>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</si>
  <si>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</si>
  <si>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</si>
  <si>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</si>
  <si>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</si>
  <si>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</si>
  <si>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</si>
  <si>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</si>
  <si>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</si>
  <si>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</si>
  <si>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</si>
  <si>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</si>
  <si>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</si>
  <si>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</si>
  <si>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</si>
  <si>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</si>
  <si>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</si>
  <si>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</si>
  <si>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</si>
  <si>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</si>
  <si>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</si>
  <si>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</si>
  <si>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</si>
  <si>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</si>
  <si>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</si>
  <si>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</si>
  <si>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</si>
  <si>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</si>
  <si>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</si>
  <si>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</si>
  <si>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</si>
  <si>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</si>
  <si>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</si>
  <si>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</si>
  <si>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</si>
  <si>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</si>
  <si>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</si>
  <si>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</si>
  <si>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</si>
  <si>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</si>
  <si>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</si>
  <si>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</si>
  <si>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</si>
  <si>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</si>
  <si>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</si>
  <si>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</si>
  <si>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</si>
  <si>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</si>
  <si>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</si>
  <si>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</si>
  <si>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</si>
  <si>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</si>
  <si>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</si>
  <si>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</si>
  <si>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</si>
  <si>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</si>
  <si>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</si>
  <si>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</si>
  <si>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</si>
  <si>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</si>
  <si>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</si>
  <si>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</si>
  <si>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</si>
  <si>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</si>
  <si>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</si>
  <si>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</si>
  <si>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</si>
  <si>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</si>
  <si>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</si>
  <si>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</si>
  <si>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</si>
  <si>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</si>
  <si>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</si>
  <si>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</si>
  <si>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</si>
  <si>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</si>
  <si>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</si>
  <si>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</si>
  <si>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</si>
  <si>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</si>
  <si>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</si>
  <si>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</si>
  <si>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</si>
  <si>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</si>
  <si>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</si>
  <si>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</si>
  <si>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</si>
  <si>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</si>
  <si>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</si>
  <si>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</si>
  <si>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</si>
  <si>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</si>
  <si>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</si>
  <si>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</si>
  <si>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</si>
  <si>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</si>
  <si>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</si>
  <si>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</si>
  <si>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</si>
  <si>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</si>
  <si>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</si>
  <si>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</si>
  <si>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</si>
  <si>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</si>
  <si>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</si>
  <si>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</si>
  <si>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</si>
  <si>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</si>
  <si>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</si>
  <si>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</si>
  <si>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</si>
  <si>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</si>
  <si>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</si>
  <si>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</si>
  <si>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</si>
  <si>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</si>
  <si>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</si>
  <si>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</si>
  <si>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</si>
  <si>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</si>
  <si>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</si>
  <si>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</si>
  <si>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</si>
  <si>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</si>
  <si>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</si>
  <si>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</si>
  <si>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</si>
  <si>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</si>
  <si>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</si>
  <si>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</si>
  <si>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</si>
  <si>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</si>
  <si>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</si>
  <si>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</si>
  <si>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</si>
  <si>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</si>
  <si>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</si>
  <si>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</si>
  <si>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</si>
  <si>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</si>
  <si>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</si>
  <si>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</si>
  <si>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</si>
  <si>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</si>
  <si>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</si>
  <si>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</si>
  <si>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</si>
  <si>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</si>
  <si>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</si>
  <si>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</si>
  <si>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</si>
  <si>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</si>
  <si>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</si>
  <si>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</si>
  <si>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</si>
  <si>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</si>
  <si>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</si>
  <si>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</si>
  <si>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</si>
  <si>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</si>
  <si>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</si>
  <si>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</si>
  <si>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</si>
  <si>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</si>
  <si>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</si>
  <si>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</si>
  <si>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</si>
  <si>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</si>
  <si>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</si>
  <si>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</si>
  <si>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</si>
  <si>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</si>
  <si>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</si>
  <si>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</si>
  <si>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</si>
  <si>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</si>
  <si>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</si>
  <si>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</si>
  <si>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</si>
  <si>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</si>
  <si>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</si>
  <si>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</si>
  <si>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</si>
  <si>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</si>
  <si>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</si>
  <si>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</si>
  <si>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</si>
  <si>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</si>
  <si>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</si>
  <si>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</si>
  <si>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</si>
  <si>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</si>
  <si>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</si>
  <si>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</si>
  <si>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</si>
  <si>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</si>
  <si>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</si>
  <si>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</si>
  <si>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</si>
  <si>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</si>
  <si>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</si>
  <si>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</si>
  <si>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</si>
  <si>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</si>
  <si>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</si>
  <si>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</si>
  <si>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</si>
  <si>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</si>
  <si>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</si>
  <si>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</si>
  <si>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</si>
  <si>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</si>
  <si>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</si>
  <si>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</si>
  <si>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</si>
  <si>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</si>
  <si>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</si>
  <si>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</si>
  <si>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</si>
  <si>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</si>
  <si>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</si>
  <si>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</si>
  <si>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</si>
  <si>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</si>
  <si>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</si>
  <si>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</si>
  <si>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</si>
  <si>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</si>
  <si>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</si>
  <si>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</si>
  <si>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</si>
  <si>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</si>
  <si>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</si>
  <si>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</si>
  <si>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</si>
  <si>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</si>
  <si>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</si>
  <si>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</si>
  <si>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</si>
  <si>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</si>
  <si>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</si>
  <si>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</si>
  <si>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</si>
  <si>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</si>
  <si>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</si>
  <si>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</si>
  <si>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</si>
  <si>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</si>
  <si>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</si>
  <si>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</si>
  <si>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</si>
  <si>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</si>
  <si>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</si>
  <si>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</si>
  <si>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</si>
  <si>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</si>
  <si>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</si>
  <si>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</si>
  <si>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</si>
  <si>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</si>
  <si>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</si>
  <si>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</si>
  <si>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</si>
  <si>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</si>
  <si>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</si>
  <si>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</si>
  <si>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</si>
  <si>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</si>
  <si>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</si>
  <si>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</si>
  <si>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</si>
  <si>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</si>
  <si>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</si>
  <si>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</si>
  <si>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</si>
  <si>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</si>
  <si>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</si>
  <si>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</si>
  <si>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</si>
  <si>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</si>
  <si>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</si>
  <si>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</si>
  <si>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</si>
  <si>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</si>
  <si>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</si>
  <si>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</si>
  <si>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</si>
  <si>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</si>
  <si>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</si>
  <si>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</si>
  <si>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</si>
  <si>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</si>
  <si>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</si>
  <si>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</si>
  <si>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</si>
  <si>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</si>
  <si>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</si>
  <si>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</si>
  <si>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</si>
  <si>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</si>
  <si>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</si>
  <si>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</si>
  <si>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</si>
  <si>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</si>
  <si>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</si>
  <si>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</si>
  <si>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</si>
  <si>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</si>
  <si>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</si>
  <si>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</si>
  <si>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</si>
  <si>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</si>
  <si>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</si>
  <si>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</si>
  <si>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</si>
  <si>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</si>
  <si>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</si>
  <si>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</si>
  <si>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</si>
  <si>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</si>
  <si>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</si>
  <si>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</si>
  <si>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</si>
  <si>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</si>
  <si>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</si>
  <si>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</si>
  <si>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</si>
  <si>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</si>
  <si>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</si>
  <si>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</si>
  <si>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</si>
  <si>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</si>
  <si>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</si>
  <si>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</si>
  <si>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</si>
  <si>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</si>
  <si>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</si>
  <si>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</si>
  <si>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</si>
  <si>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</si>
  <si>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</si>
  <si>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</si>
  <si>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</si>
  <si>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</si>
  <si>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</si>
  <si>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</si>
  <si>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</si>
  <si>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</si>
  <si>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</si>
  <si>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</si>
  <si>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</si>
  <si>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</si>
  <si>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</si>
  <si>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</si>
  <si>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</si>
  <si>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</si>
  <si>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</si>
  <si>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</si>
  <si>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</si>
  <si>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</si>
  <si>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</si>
  <si>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</si>
  <si>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</si>
  <si>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</si>
  <si>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</si>
  <si>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</si>
  <si>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</si>
  <si>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</si>
  <si>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</si>
  <si>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</si>
  <si>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</si>
  <si>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</si>
  <si>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</si>
  <si>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</si>
  <si>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</si>
  <si>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</si>
  <si>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</si>
  <si>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</si>
  <si>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</si>
  <si>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</si>
  <si>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</si>
  <si>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</si>
  <si>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</si>
  <si>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</si>
  <si>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</si>
  <si>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</si>
  <si>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</si>
  <si>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</si>
  <si>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</si>
  <si>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</si>
  <si>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</si>
  <si>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</si>
  <si>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</si>
  <si>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</si>
  <si>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</si>
  <si>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</si>
  <si>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</si>
  <si>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</si>
  <si>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</si>
  <si>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</si>
  <si>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</si>
  <si>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</si>
  <si>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</si>
  <si>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</si>
  <si>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</si>
  <si>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</si>
  <si>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</si>
  <si>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</si>
  <si>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</si>
  <si>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</si>
  <si>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</si>
  <si>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</si>
  <si>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</si>
  <si>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</si>
  <si>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</si>
  <si>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</si>
  <si>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</si>
  <si>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</si>
  <si>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</si>
  <si>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</si>
  <si>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</si>
  <si>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</si>
  <si>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</si>
  <si>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</si>
  <si>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</si>
  <si>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</si>
  <si>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</si>
  <si>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</si>
  <si>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</si>
  <si>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</si>
  <si>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</si>
  <si>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</si>
  <si>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</si>
  <si>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</si>
  <si>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</si>
  <si>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</si>
  <si>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</si>
  <si>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</si>
  <si>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</si>
  <si>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</si>
  <si>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</si>
  <si>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</si>
  <si>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</si>
  <si>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</si>
  <si>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</si>
  <si>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</si>
  <si>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</si>
  <si>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</si>
  <si>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</si>
  <si>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</si>
  <si>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</si>
  <si>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</si>
  <si>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</si>
  <si>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</si>
  <si>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</si>
  <si>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</si>
  <si>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</si>
  <si>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</si>
  <si>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</si>
  <si>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</si>
  <si>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</si>
  <si>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</si>
  <si>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</si>
  <si>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</si>
  <si>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</si>
  <si>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</si>
  <si>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</si>
  <si>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</si>
  <si>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</si>
  <si>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</si>
  <si>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</si>
  <si>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</si>
  <si>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</si>
  <si>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</si>
  <si>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</si>
  <si>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</si>
  <si>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</si>
  <si>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</si>
  <si>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</si>
  <si>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</si>
  <si>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</si>
  <si>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</si>
  <si>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</si>
  <si>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</si>
  <si>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</si>
  <si>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</si>
  <si>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</si>
  <si>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</si>
  <si>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</si>
  <si>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</si>
  <si>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</si>
  <si>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</si>
  <si>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</si>
  <si>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</si>
  <si>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</si>
  <si>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</si>
  <si>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</si>
  <si>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</si>
  <si>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</si>
  <si>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</si>
  <si>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</si>
  <si>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</si>
  <si>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</si>
  <si>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</si>
  <si>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</si>
  <si>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</si>
  <si>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</si>
  <si>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</si>
  <si>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</si>
  <si>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</si>
  <si>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</si>
  <si>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</si>
  <si>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</si>
  <si>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</si>
  <si>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</si>
  <si>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</si>
  <si>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</si>
  <si>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</si>
  <si>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</si>
  <si>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</si>
  <si>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</si>
  <si>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</si>
  <si>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</si>
  <si>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</si>
  <si>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</si>
  <si>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</si>
  <si>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</si>
  <si>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</si>
  <si>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</si>
  <si>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</si>
  <si>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</si>
  <si>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</si>
  <si>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</si>
  <si>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</si>
  <si>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</si>
  <si>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</si>
  <si>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</si>
  <si>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</si>
  <si>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</si>
  <si>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</si>
  <si>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</si>
  <si>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</si>
  <si>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</si>
  <si>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</si>
  <si>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</si>
  <si>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</si>
  <si>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</si>
  <si>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</si>
  <si>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</si>
  <si>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</si>
  <si>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</si>
  <si>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</si>
  <si>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</si>
  <si>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</si>
  <si>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</si>
  <si>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</si>
  <si>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</si>
  <si>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</si>
  <si>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</si>
  <si>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</si>
  <si>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</si>
  <si>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</si>
  <si>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</si>
  <si>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</si>
  <si>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</si>
  <si>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</si>
  <si>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</si>
  <si>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</si>
  <si>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</si>
  <si>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</si>
  <si>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</si>
  <si>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</si>
  <si>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</si>
  <si>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</si>
  <si>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</si>
  <si>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</si>
  <si>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</si>
  <si>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</si>
  <si>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</si>
  <si>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</si>
  <si>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</si>
  <si>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</si>
  <si>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</si>
  <si>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</si>
  <si>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</si>
  <si>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</si>
  <si>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</si>
  <si>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</si>
  <si>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</si>
  <si>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</si>
  <si>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</si>
  <si>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</si>
  <si>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</si>
  <si>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</si>
  <si>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</si>
  <si>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</si>
  <si>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</si>
  <si>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</si>
  <si>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</si>
  <si>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</si>
  <si>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</si>
  <si>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</si>
  <si>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</si>
  <si>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</si>
  <si>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</si>
  <si>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</si>
  <si>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</si>
  <si>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</si>
  <si>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</si>
  <si>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</si>
  <si>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</si>
  <si>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</si>
  <si>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</si>
  <si>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</si>
  <si>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</si>
  <si>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</si>
  <si>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</si>
  <si>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</si>
  <si>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</si>
  <si>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</si>
  <si>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</si>
  <si>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</si>
  <si>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</si>
  <si>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</si>
  <si>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</si>
  <si>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</si>
  <si>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</si>
  <si>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</si>
  <si>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</si>
  <si>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</si>
  <si>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</si>
  <si>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</si>
  <si>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</si>
  <si>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</si>
  <si>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</si>
  <si>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</si>
  <si>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</si>
  <si>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</si>
  <si>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</si>
  <si>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</si>
  <si>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</si>
  <si>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</si>
  <si>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</si>
  <si>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</si>
  <si>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</si>
  <si>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</si>
  <si>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</si>
  <si>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</si>
  <si>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</si>
  <si>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</si>
  <si>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</si>
  <si>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</si>
  <si>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</si>
  <si>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</si>
  <si>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</si>
  <si>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</si>
  <si>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</si>
  <si>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</si>
  <si>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</si>
  <si>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</si>
  <si>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</si>
  <si>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</si>
  <si>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</si>
  <si>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</si>
  <si>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</si>
  <si>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</si>
  <si>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</si>
  <si>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</si>
  <si>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</si>
  <si>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</si>
  <si>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</si>
  <si>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</si>
  <si>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</si>
  <si>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</si>
  <si>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</si>
  <si>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</si>
  <si>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</si>
  <si>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</si>
  <si>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</si>
  <si>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</si>
  <si>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</si>
  <si>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</si>
  <si>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</si>
  <si>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</si>
  <si>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</si>
  <si>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</si>
  <si>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</si>
  <si>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</si>
  <si>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</si>
  <si>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</si>
  <si>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</si>
  <si>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</si>
  <si>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</si>
  <si>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</si>
  <si>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</si>
  <si>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</si>
  <si>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</si>
  <si>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</si>
  <si>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</si>
  <si>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</si>
  <si>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</si>
  <si>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</si>
  <si>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</si>
  <si>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</si>
  <si>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</si>
  <si>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</si>
  <si>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</si>
  <si>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</si>
  <si>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</si>
  <si>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</si>
  <si>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</si>
  <si>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</si>
  <si>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</si>
  <si>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</si>
  <si>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</si>
  <si>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</si>
  <si>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</si>
  <si>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</si>
  <si>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</si>
  <si>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</si>
  <si>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</si>
  <si>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</si>
  <si>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</si>
  <si>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</si>
  <si>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</si>
  <si>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</si>
  <si>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</si>
  <si>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</si>
  <si>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</si>
  <si>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</si>
  <si>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</si>
  <si>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</si>
  <si>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</si>
  <si>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</si>
  <si>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</si>
  <si>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</si>
  <si>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</si>
  <si>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</si>
  <si>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</si>
  <si>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</si>
  <si>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</si>
  <si>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</si>
  <si>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</si>
  <si>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</si>
  <si>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</si>
  <si>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</si>
  <si>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</si>
  <si>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</si>
  <si>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</si>
  <si>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</si>
  <si>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</si>
  <si>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</si>
  <si>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</si>
  <si>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</si>
  <si>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</si>
  <si>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</si>
  <si>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</si>
  <si>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</si>
  <si>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</si>
  <si>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</si>
  <si>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</si>
  <si>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</si>
  <si>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</si>
  <si>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</si>
  <si>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</si>
  <si>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</si>
  <si>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</si>
  <si>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</si>
  <si>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</si>
  <si>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</si>
  <si>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</si>
  <si>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</si>
  <si>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</si>
  <si>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</si>
  <si>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</si>
  <si>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</si>
  <si>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</si>
  <si>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</si>
  <si>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</si>
  <si>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</si>
  <si>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</si>
  <si>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</si>
  <si>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</si>
  <si>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</si>
  <si>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</si>
  <si>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</si>
  <si>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</si>
  <si>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</si>
  <si>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</si>
  <si>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</si>
  <si>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</si>
  <si>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</si>
  <si>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</si>
  <si>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</si>
  <si>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</si>
  <si>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</si>
  <si>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</si>
  <si>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</si>
  <si>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</si>
  <si>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</si>
  <si>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</si>
  <si>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</si>
  <si>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</si>
  <si>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</si>
  <si>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</si>
  <si>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</si>
  <si>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</si>
  <si>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</si>
  <si>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</si>
  <si>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</si>
  <si>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</si>
  <si>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</si>
  <si>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</si>
  <si>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</si>
  <si>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</si>
  <si>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</si>
  <si>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</si>
  <si>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</si>
  <si>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</si>
  <si>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</si>
  <si>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</si>
  <si>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</si>
  <si>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</si>
  <si>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</si>
  <si>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</si>
  <si>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</si>
  <si>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</si>
  <si>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</si>
  <si>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</si>
  <si>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</si>
  <si>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</si>
  <si>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</si>
  <si>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</si>
  <si>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</si>
  <si>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</si>
  <si>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</si>
  <si>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</si>
  <si>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</si>
  <si>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</si>
  <si>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</si>
  <si>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</si>
  <si>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</si>
  <si>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</si>
  <si>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</si>
  <si>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</si>
  <si>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</si>
  <si>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</si>
  <si>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</si>
  <si>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</si>
  <si>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</si>
  <si>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</si>
  <si>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</si>
  <si>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</si>
  <si>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</si>
  <si>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</si>
  <si>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</si>
  <si>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</si>
  <si>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</si>
  <si>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</si>
  <si>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</si>
  <si>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</si>
  <si>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</si>
  <si>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</si>
  <si>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</si>
  <si>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</si>
  <si>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</si>
  <si>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</si>
  <si>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</si>
  <si>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</si>
  <si>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</si>
  <si>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</si>
  <si>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</si>
  <si>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</si>
  <si>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</si>
  <si>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</si>
  <si>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</si>
  <si>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</si>
  <si>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</si>
  <si>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</si>
  <si>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</si>
  <si>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</si>
  <si>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</si>
  <si>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</si>
  <si>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</si>
  <si>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</si>
  <si>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</si>
  <si>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</si>
  <si>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</si>
  <si>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</si>
  <si>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</si>
  <si>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</si>
  <si>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</si>
  <si>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</si>
  <si>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</si>
  <si>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</si>
  <si>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</si>
  <si>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</si>
  <si>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</si>
  <si>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</si>
  <si>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</si>
  <si>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</si>
  <si>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</si>
  <si>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</si>
  <si>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</si>
  <si>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</si>
  <si>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</si>
  <si>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</si>
  <si>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</si>
  <si>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</si>
  <si>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</si>
  <si>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</si>
  <si>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</si>
  <si>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</si>
  <si>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</si>
  <si>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</si>
  <si>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</si>
  <si>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</si>
  <si>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</si>
  <si>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</si>
  <si>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</si>
  <si>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</si>
  <si>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</si>
  <si>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</si>
  <si>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</si>
  <si>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</si>
  <si>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</si>
  <si>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</si>
  <si>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</si>
  <si>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</si>
  <si>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</si>
  <si>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</si>
  <si>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</si>
  <si>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</si>
  <si>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</si>
  <si>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</si>
  <si>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</si>
  <si>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</si>
  <si>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</si>
  <si>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</si>
  <si>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</si>
  <si>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</si>
  <si>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</si>
  <si>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</si>
  <si>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</si>
  <si>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</si>
  <si>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</si>
  <si>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</si>
  <si>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</si>
  <si>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</si>
  <si>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</si>
  <si>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</si>
  <si>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</si>
  <si>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</si>
  <si>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</si>
  <si>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</si>
  <si>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</si>
  <si>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</si>
  <si>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</si>
  <si>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</si>
  <si>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</si>
  <si>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</si>
  <si>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</si>
  <si>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</si>
  <si>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</si>
  <si>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</si>
  <si>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</si>
  <si>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</si>
  <si>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</si>
  <si>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</si>
  <si>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</si>
  <si>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</si>
  <si>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</si>
  <si>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</si>
  <si>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</si>
  <si>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</si>
  <si>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</si>
  <si>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</si>
  <si>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</si>
  <si>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</si>
  <si>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</si>
  <si>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</si>
  <si>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</si>
  <si>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</si>
  <si>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</si>
  <si>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</si>
  <si>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</si>
  <si>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</si>
  <si>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</si>
  <si>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</si>
  <si>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</si>
  <si>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</si>
  <si>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</si>
  <si>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</si>
  <si>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</si>
  <si>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</si>
  <si>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</si>
  <si>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</si>
  <si>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</si>
  <si>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</si>
  <si>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</si>
  <si>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</si>
  <si>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</si>
  <si>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</si>
  <si>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</si>
  <si>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</si>
  <si>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</si>
  <si>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</si>
  <si>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</si>
  <si>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</si>
  <si>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</si>
  <si>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</si>
  <si>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</si>
  <si>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</si>
  <si>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</si>
  <si>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</si>
  <si>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</si>
  <si>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</si>
  <si>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</si>
  <si>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</si>
  <si>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</si>
  <si>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</si>
  <si>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</si>
  <si>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</si>
  <si>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</si>
  <si>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</si>
  <si>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</si>
  <si>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</si>
  <si>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</si>
  <si>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</si>
  <si>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</si>
  <si>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</si>
  <si>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</si>
  <si>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</si>
  <si>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</si>
  <si>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</si>
  <si>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</si>
  <si>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</si>
  <si>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</si>
  <si>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</si>
  <si>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</si>
  <si>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</si>
  <si>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</si>
  <si>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</si>
  <si>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</si>
  <si>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</si>
  <si>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</si>
  <si>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</si>
  <si>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</si>
  <si>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</si>
  <si>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</si>
  <si>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</si>
  <si>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</si>
  <si>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</si>
  <si>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</si>
  <si>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</si>
  <si>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</si>
  <si>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</si>
  <si>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</si>
  <si>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</si>
  <si>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</si>
  <si>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</si>
  <si>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</si>
  <si>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</si>
  <si>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</si>
  <si>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</si>
  <si>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</si>
  <si>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</si>
  <si>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</si>
  <si>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</si>
  <si>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</si>
  <si>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</si>
  <si>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</si>
  <si>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</si>
  <si>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</si>
  <si>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</si>
  <si>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</si>
  <si>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</si>
  <si>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</si>
  <si>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</si>
  <si>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</si>
  <si>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</si>
  <si>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</si>
  <si>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</si>
  <si>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</si>
  <si>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</si>
  <si>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</si>
  <si>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</si>
  <si>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</si>
  <si>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</si>
  <si>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</si>
  <si>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</si>
  <si>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</si>
  <si>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</si>
  <si>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</si>
  <si>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</si>
  <si>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</si>
  <si>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</si>
  <si>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</si>
  <si>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</si>
  <si>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</si>
  <si>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</si>
  <si>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</si>
  <si>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</si>
  <si>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</si>
  <si>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</si>
  <si>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</si>
  <si>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</si>
  <si>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</si>
  <si>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</si>
  <si>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</si>
  <si>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</si>
  <si>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</si>
  <si>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</si>
  <si>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</si>
  <si>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</si>
  <si>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</si>
  <si>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</si>
  <si>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</si>
  <si>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</si>
  <si>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</si>
  <si>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</si>
  <si>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</si>
  <si>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</si>
  <si>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</si>
  <si>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</si>
  <si>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</si>
  <si>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</si>
  <si>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</si>
  <si>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</si>
  <si>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</si>
  <si>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</si>
  <si>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</si>
  <si>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</si>
  <si>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</si>
  <si>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</si>
  <si>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</si>
  <si>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</si>
  <si>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</si>
  <si>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</si>
  <si>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</si>
  <si>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</si>
  <si>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</si>
  <si>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</si>
  <si>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</si>
  <si>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</si>
  <si>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</si>
  <si>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</si>
  <si>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</si>
  <si>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</si>
  <si>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</si>
  <si>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</si>
  <si>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</si>
  <si>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</si>
  <si>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</si>
  <si>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</si>
  <si>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</si>
  <si>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</si>
  <si>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</si>
  <si>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</si>
  <si>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</si>
  <si>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</si>
  <si>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</si>
  <si>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</si>
  <si>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</si>
  <si>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</si>
  <si>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</si>
  <si>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</si>
  <si>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</si>
  <si>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</si>
  <si>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</si>
  <si>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</si>
  <si>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</si>
  <si>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</si>
  <si>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</si>
  <si>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</si>
  <si>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</si>
  <si>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</si>
  <si>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</si>
  <si>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</si>
  <si>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</si>
  <si>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</si>
  <si>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</si>
  <si>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</si>
  <si>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</si>
  <si>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</si>
  <si>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</si>
  <si>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</si>
  <si>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</si>
  <si>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</si>
  <si>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</si>
  <si>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</si>
  <si>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</si>
  <si>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</si>
  <si>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</si>
  <si>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</si>
  <si>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</si>
  <si>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</si>
  <si>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</si>
  <si>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</si>
  <si>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</si>
  <si>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</si>
  <si>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</si>
  <si>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</si>
  <si>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</si>
  <si>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</si>
  <si>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</si>
  <si>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</si>
  <si>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</si>
  <si>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</si>
  <si>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</si>
  <si>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</si>
  <si>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</si>
  <si>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</si>
  <si>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</si>
  <si>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</si>
  <si>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</si>
  <si>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</si>
  <si>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</si>
  <si>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</si>
  <si>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</si>
  <si>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</si>
  <si>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</si>
  <si>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</si>
  <si>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</si>
  <si>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</si>
  <si>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</si>
  <si>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</si>
  <si>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</si>
  <si>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</si>
  <si>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</si>
  <si>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</si>
  <si>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</si>
  <si>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</si>
  <si>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</si>
  <si>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</si>
  <si>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</si>
  <si>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</si>
  <si>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</si>
  <si>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</si>
  <si>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</si>
  <si>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</si>
  <si>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</si>
  <si>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</si>
  <si>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</si>
  <si>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</si>
  <si>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</si>
  <si>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</si>
  <si>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</si>
  <si>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</si>
  <si>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</si>
  <si>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</si>
  <si>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</si>
  <si>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</si>
  <si>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</si>
  <si>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</si>
  <si>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</si>
  <si>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</si>
  <si>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</si>
  <si>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</si>
  <si>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</si>
  <si>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</si>
  <si>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</si>
  <si>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</si>
  <si>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</si>
  <si>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</si>
  <si>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</si>
  <si>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</si>
  <si>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</si>
  <si>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</si>
  <si>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</si>
  <si>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</si>
  <si>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</si>
  <si>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</si>
  <si>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</si>
  <si>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</si>
  <si>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</si>
  <si>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</si>
  <si>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</si>
  <si>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</si>
  <si>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</si>
  <si>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</si>
  <si>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</si>
  <si>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</si>
  <si>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</si>
  <si>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</si>
  <si>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</si>
  <si>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</si>
  <si>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</si>
  <si>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</si>
  <si>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</si>
  <si>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</si>
  <si>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</si>
  <si>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</si>
  <si>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</si>
  <si>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</si>
  <si>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</si>
  <si>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</si>
  <si>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</si>
  <si>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</si>
  <si>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</si>
  <si>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</si>
  <si>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</si>
  <si>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</si>
  <si>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</si>
  <si>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</si>
  <si>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</si>
  <si>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</si>
  <si>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</si>
  <si>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</si>
  <si>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</si>
  <si>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</si>
  <si>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</si>
  <si>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</si>
  <si>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</si>
  <si>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</si>
  <si>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</si>
  <si>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</si>
  <si>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</si>
  <si>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</si>
  <si>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</si>
  <si>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</si>
  <si>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</si>
  <si>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</si>
  <si>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</si>
  <si>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</si>
  <si>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</si>
  <si>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</si>
  <si>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</si>
  <si>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</si>
  <si>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</si>
  <si>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</si>
  <si>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</si>
  <si>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</si>
  <si>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</si>
  <si>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</si>
  <si>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</si>
  <si>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</si>
  <si>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</si>
  <si>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</si>
  <si>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</si>
  <si>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</si>
  <si>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</si>
  <si>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</si>
  <si>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</si>
  <si>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</si>
  <si>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</si>
  <si>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</si>
  <si>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</si>
  <si>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</si>
  <si>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</si>
  <si>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</si>
  <si>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</si>
  <si>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</si>
  <si>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</si>
  <si>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</si>
  <si>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</si>
  <si>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</si>
  <si>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</si>
  <si>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</si>
  <si>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</si>
  <si>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</si>
  <si>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</si>
  <si>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</si>
  <si>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</si>
  <si>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</si>
  <si>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</si>
  <si>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</si>
  <si>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</si>
  <si>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</si>
  <si>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</si>
  <si>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</si>
  <si>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</si>
  <si>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</si>
  <si>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</si>
  <si>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</si>
  <si>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</si>
  <si>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</si>
  <si>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</si>
  <si>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</si>
  <si>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</si>
  <si>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</si>
  <si>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</si>
  <si>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</si>
  <si>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</si>
  <si>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</si>
  <si>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</si>
  <si>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</si>
  <si>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</si>
  <si>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</si>
  <si>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</si>
  <si>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</si>
  <si>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</si>
  <si>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</si>
  <si>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</si>
  <si>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</si>
  <si>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</si>
  <si>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</si>
  <si>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</si>
  <si>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</si>
  <si>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</si>
  <si>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</si>
  <si>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</si>
  <si>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</si>
  <si>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</si>
  <si>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</si>
  <si>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</si>
  <si>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</si>
  <si>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</si>
  <si>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</si>
  <si>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</si>
  <si>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</si>
  <si>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</si>
  <si>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</si>
  <si>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</si>
  <si>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</si>
  <si>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</si>
  <si>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</si>
  <si>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</si>
  <si>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</si>
  <si>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</si>
  <si>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</si>
  <si>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</si>
  <si>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</si>
  <si>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</si>
  <si>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</si>
  <si>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</si>
  <si>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</si>
  <si>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</si>
  <si>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</si>
  <si>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</si>
  <si>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</si>
  <si>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</si>
  <si>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</si>
  <si>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</si>
  <si>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</si>
  <si>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</si>
  <si>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</si>
  <si>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</si>
  <si>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</si>
  <si>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</si>
  <si>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</si>
  <si>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</si>
  <si>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</si>
  <si>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</si>
  <si>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</si>
  <si>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</si>
  <si>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</si>
  <si>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</si>
  <si>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</si>
  <si>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</si>
  <si>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</si>
  <si>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</si>
  <si>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</si>
  <si>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</si>
  <si>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</si>
  <si>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</si>
  <si>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</si>
  <si>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</si>
  <si>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</si>
  <si>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</si>
  <si>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</si>
  <si>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</si>
  <si>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</si>
  <si>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</si>
  <si>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</si>
  <si>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</si>
  <si>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</si>
  <si>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</si>
  <si>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</si>
  <si>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</si>
  <si>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</si>
  <si>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</si>
  <si>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</si>
  <si>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</si>
  <si>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</si>
  <si>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</si>
  <si>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</si>
  <si>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</si>
  <si>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</si>
  <si>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</si>
  <si>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</si>
  <si>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</si>
  <si>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</si>
  <si>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</si>
  <si>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</si>
  <si>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</si>
  <si>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</si>
  <si>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</si>
  <si>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</si>
  <si>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</si>
  <si>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</si>
  <si>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</si>
  <si>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</si>
  <si>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</si>
  <si>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</si>
  <si>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</si>
  <si>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</si>
  <si>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</si>
  <si>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</si>
  <si>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</si>
  <si>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</si>
  <si>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</si>
  <si>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</si>
  <si>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</si>
  <si>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</si>
  <si>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</si>
  <si>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</si>
  <si>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</si>
  <si>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</si>
  <si>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</si>
  <si>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</si>
  <si>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</si>
  <si>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</si>
  <si>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</si>
  <si>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</si>
  <si>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</si>
  <si>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</si>
  <si>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</si>
  <si>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</si>
  <si>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</si>
  <si>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</si>
  <si>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</si>
  <si>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</si>
  <si>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</si>
  <si>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</si>
  <si>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</si>
  <si>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</si>
  <si>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</si>
  <si>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</si>
  <si>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</si>
  <si>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</si>
  <si>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</si>
  <si>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</si>
  <si>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</si>
  <si>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</si>
  <si>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</si>
  <si>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</si>
  <si>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</si>
  <si>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</si>
  <si>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</si>
  <si>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</si>
  <si>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</si>
  <si>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</si>
  <si>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</si>
  <si>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</si>
  <si>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</si>
  <si>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</si>
  <si>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</si>
  <si>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</si>
  <si>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</si>
  <si>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</si>
  <si>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</si>
  <si>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</si>
  <si>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</si>
  <si>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</si>
  <si>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</si>
  <si>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</si>
  <si>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</si>
  <si>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</si>
  <si>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</si>
  <si>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</si>
  <si>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</si>
  <si>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</si>
  <si>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</si>
  <si>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</si>
  <si>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</si>
  <si>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</si>
  <si>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</si>
  <si>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</si>
  <si>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</si>
  <si>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</si>
  <si>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</si>
  <si>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</si>
  <si>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</si>
  <si>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</si>
  <si>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</si>
  <si>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</si>
  <si>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</si>
  <si>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</si>
  <si>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</si>
  <si>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</si>
  <si>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</si>
  <si>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</si>
  <si>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</si>
  <si>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</si>
  <si>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</si>
  <si>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</si>
  <si>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</si>
  <si>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</si>
  <si>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</si>
  <si>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</si>
  <si>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</si>
  <si>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</si>
  <si>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</si>
  <si>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</si>
  <si>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</si>
  <si>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</si>
  <si>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</si>
  <si>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</si>
  <si>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</si>
  <si>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</si>
  <si>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</si>
  <si>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</si>
  <si>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</si>
  <si>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</si>
  <si>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</si>
  <si>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</si>
  <si>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</si>
  <si>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</si>
  <si>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</si>
  <si>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</si>
  <si>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</si>
  <si>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</si>
  <si>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</si>
  <si>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</si>
  <si>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</si>
  <si>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</si>
  <si>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</si>
  <si>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</si>
  <si>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</si>
  <si>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</si>
  <si>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</si>
  <si>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</si>
  <si>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</si>
  <si>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</si>
  <si>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</si>
  <si>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</si>
  <si>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</si>
  <si>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</si>
  <si>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</si>
  <si>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</si>
  <si>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</si>
  <si>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</si>
  <si>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</si>
  <si>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</si>
  <si>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</si>
  <si>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</si>
  <si>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</si>
  <si>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</si>
  <si>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</si>
  <si>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</si>
  <si>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</si>
  <si>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</si>
  <si>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</si>
  <si>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</si>
  <si>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</si>
  <si>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</si>
  <si>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</si>
  <si>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</si>
  <si>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</si>
  <si>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</si>
  <si>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</si>
  <si>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</si>
  <si>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</si>
  <si>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</si>
  <si>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</si>
  <si>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</si>
  <si>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</si>
  <si>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</si>
  <si>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</si>
  <si>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</si>
  <si>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</si>
  <si>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</si>
  <si>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</si>
  <si>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</si>
  <si>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</si>
  <si>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</si>
  <si>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</si>
  <si>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</si>
  <si>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</si>
  <si>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</si>
  <si>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</si>
  <si>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</si>
  <si>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</si>
  <si>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</si>
  <si>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</si>
  <si>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</si>
  <si>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</si>
  <si>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</si>
  <si>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</si>
  <si>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</si>
  <si>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</si>
  <si>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</si>
  <si>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</si>
  <si>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</si>
  <si>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</si>
  <si>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</si>
  <si>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</si>
  <si>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</si>
  <si>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</si>
  <si>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</si>
  <si>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</si>
  <si>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</si>
  <si>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</si>
  <si>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</si>
  <si>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</si>
  <si>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</si>
  <si>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</si>
  <si>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</si>
  <si>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</si>
  <si>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</si>
  <si>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</si>
  <si>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</si>
  <si>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</si>
  <si>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</si>
  <si>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</si>
  <si>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</si>
  <si>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</si>
  <si>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</si>
  <si>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</si>
  <si>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</si>
  <si>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</si>
  <si>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</si>
  <si>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</si>
  <si>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</si>
  <si>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</si>
  <si>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</si>
  <si>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</si>
  <si>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</si>
  <si>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</si>
  <si>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</si>
  <si>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</si>
  <si>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</si>
  <si>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</si>
  <si>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</si>
  <si>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</si>
  <si>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</si>
  <si>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</si>
  <si>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</si>
  <si>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</si>
  <si>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</si>
  <si>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</si>
  <si>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</si>
  <si>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</si>
  <si>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</si>
  <si>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</si>
  <si>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</si>
  <si>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</si>
  <si>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</si>
  <si>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</si>
  <si>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</si>
  <si>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</si>
  <si>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</si>
  <si>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</si>
  <si>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</si>
  <si>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</si>
  <si>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</si>
  <si>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</si>
  <si>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</si>
  <si>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</si>
  <si>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</si>
  <si>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</si>
  <si>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</si>
  <si>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</si>
  <si>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</si>
  <si>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</si>
  <si>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</si>
  <si>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</si>
  <si>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</si>
  <si>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</si>
  <si>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</si>
  <si>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</si>
  <si>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</si>
  <si>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</si>
  <si>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</si>
  <si>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</si>
  <si>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</si>
  <si>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</si>
  <si>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</si>
  <si>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</si>
  <si>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</si>
  <si>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</si>
  <si>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</si>
  <si>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</si>
  <si>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</si>
  <si>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</si>
  <si>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</si>
  <si>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</si>
  <si>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</si>
  <si>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</si>
  <si>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</si>
  <si>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</si>
  <si>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</si>
  <si>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</si>
  <si>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</si>
  <si>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</si>
  <si>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</si>
  <si>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</si>
  <si>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</si>
  <si>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</si>
  <si>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</si>
  <si>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</si>
  <si>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</si>
  <si>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</si>
  <si>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</si>
  <si>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</si>
  <si>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</si>
  <si>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</si>
  <si>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</si>
  <si>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</si>
  <si>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</si>
  <si>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</si>
  <si>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</si>
  <si>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</si>
  <si>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</si>
  <si>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</si>
  <si>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</si>
  <si>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</si>
  <si>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</si>
  <si>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</si>
  <si>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</si>
  <si>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</si>
  <si>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</si>
  <si>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</si>
  <si>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</si>
  <si>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</si>
  <si>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</si>
  <si>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</si>
  <si>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</si>
  <si>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</si>
  <si>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</si>
  <si>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</si>
  <si>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</si>
  <si>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</si>
  <si>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</si>
  <si>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</si>
  <si>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</si>
  <si>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</si>
  <si>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</si>
  <si>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</si>
  <si>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</si>
  <si>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</si>
  <si>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</si>
  <si>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</si>
  <si>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</si>
  <si>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</si>
  <si>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</si>
  <si>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</si>
  <si>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</si>
  <si>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</si>
  <si>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</si>
  <si>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</si>
  <si>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</si>
  <si>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</si>
  <si>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</si>
  <si>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</si>
  <si>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</si>
  <si>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</si>
  <si>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</si>
  <si>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</si>
  <si>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</si>
  <si>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</si>
  <si>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</si>
  <si>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</si>
  <si>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</si>
  <si>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</si>
  <si>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</si>
  <si>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</si>
  <si>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</si>
  <si>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</si>
  <si>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</si>
  <si>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</si>
  <si>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</si>
  <si>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</si>
  <si>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</si>
  <si>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</si>
  <si>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</si>
  <si>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</si>
  <si>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</si>
  <si>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</si>
  <si>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</si>
  <si>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</si>
  <si>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</si>
  <si>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</si>
  <si>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</si>
  <si>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</si>
  <si>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</si>
  <si>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</si>
  <si>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</si>
  <si>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</si>
  <si>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</si>
  <si>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</si>
  <si>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</si>
  <si>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</si>
  <si>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</si>
  <si>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</si>
  <si>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</si>
  <si>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</si>
  <si>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</si>
  <si>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</si>
  <si>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</si>
  <si>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</si>
  <si>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</si>
  <si>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</si>
  <si>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</si>
  <si>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</si>
  <si>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</si>
  <si>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</si>
  <si>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</si>
  <si>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</si>
  <si>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</si>
  <si>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</si>
  <si>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</si>
  <si>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</si>
  <si>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</si>
  <si>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</si>
  <si>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</si>
  <si>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</si>
  <si>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</si>
  <si>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</si>
  <si>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</si>
  <si>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</si>
  <si>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</si>
  <si>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</si>
  <si>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</si>
  <si>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</si>
  <si>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</si>
  <si>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</si>
  <si>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</si>
  <si>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</si>
  <si>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</si>
  <si>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</si>
  <si>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</si>
  <si>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</si>
  <si>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</si>
  <si>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</si>
  <si>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</si>
  <si>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</si>
  <si>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</si>
  <si>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</si>
  <si>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</si>
  <si>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</si>
  <si>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</si>
  <si>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</si>
  <si>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</si>
  <si>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</si>
  <si>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</si>
  <si>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</si>
  <si>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</si>
  <si>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</si>
  <si>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</si>
  <si>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</si>
  <si>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</si>
  <si>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</si>
  <si>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</si>
  <si>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</si>
  <si>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</si>
  <si>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</si>
  <si>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</si>
  <si>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</si>
  <si>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</si>
  <si>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</si>
  <si>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</si>
  <si>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</si>
  <si>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</si>
  <si>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</si>
  <si>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</si>
  <si>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</si>
  <si>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</si>
  <si>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</si>
  <si>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</si>
  <si>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</si>
  <si>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</si>
  <si>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</si>
  <si>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</si>
  <si>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</si>
  <si>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</si>
  <si>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</si>
  <si>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</si>
  <si>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</si>
  <si>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</si>
  <si>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</si>
  <si>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</si>
  <si>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</si>
  <si>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</si>
  <si>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</si>
  <si>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</si>
  <si>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</si>
  <si>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</si>
  <si>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</si>
  <si>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</si>
  <si>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</si>
  <si>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</si>
  <si>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</si>
  <si>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</si>
  <si>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</si>
  <si>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</si>
  <si>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</si>
  <si>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</si>
  <si>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</si>
  <si>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</si>
  <si>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</si>
  <si>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</si>
  <si>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</si>
  <si>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</si>
  <si>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</si>
  <si>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</si>
  <si>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</si>
  <si>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</si>
  <si>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</si>
  <si>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</si>
  <si>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</si>
  <si>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</si>
  <si>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</si>
  <si>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</si>
  <si>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</si>
  <si>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</si>
  <si>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</si>
  <si>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</si>
  <si>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</si>
  <si>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</si>
  <si>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</si>
  <si>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</si>
  <si>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</si>
  <si>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</si>
  <si>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</si>
  <si>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</si>
  <si>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</si>
  <si>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</si>
  <si>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</si>
  <si>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</si>
  <si>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</si>
  <si>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</si>
  <si>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</si>
  <si>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</si>
  <si>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</si>
  <si>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</si>
  <si>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</si>
  <si>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</si>
  <si>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</si>
  <si>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</si>
  <si>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</si>
  <si>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</si>
  <si>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</si>
  <si>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</si>
  <si>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</si>
  <si>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</si>
  <si>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</si>
  <si>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</si>
  <si>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</si>
  <si>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</si>
  <si>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</si>
  <si>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</si>
  <si>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</si>
  <si>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</si>
  <si>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</si>
  <si>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</si>
  <si>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</si>
  <si>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</si>
  <si>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</si>
  <si>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</si>
  <si>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</si>
  <si>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</si>
  <si>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</si>
  <si>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</si>
  <si>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</si>
  <si>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</si>
  <si>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</si>
  <si>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</si>
  <si>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</si>
  <si>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</si>
  <si>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</si>
  <si>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</si>
  <si>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</si>
  <si>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</si>
  <si>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</si>
  <si>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</si>
  <si>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</si>
  <si>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</si>
  <si>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</si>
  <si>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</si>
  <si>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</si>
  <si>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</si>
  <si>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</si>
  <si>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</si>
  <si>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</si>
  <si>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</si>
  <si>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</si>
  <si>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</si>
  <si>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</si>
  <si>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</si>
  <si>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</si>
  <si>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</si>
  <si>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</si>
  <si>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</si>
  <si>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</si>
  <si>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</si>
  <si>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</si>
  <si>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</si>
  <si>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</si>
  <si>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</si>
  <si>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</si>
  <si>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</si>
  <si>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</si>
  <si>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</si>
  <si>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</si>
  <si>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</si>
  <si>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</si>
  <si>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</si>
  <si>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</si>
  <si>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</si>
  <si>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</si>
  <si>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</si>
  <si>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</si>
  <si>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</si>
  <si>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</si>
  <si>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</si>
  <si>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</si>
  <si>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</si>
  <si>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</si>
  <si>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</si>
  <si>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</si>
  <si>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</si>
  <si>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</si>
  <si>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</si>
  <si>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</si>
  <si>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</si>
  <si>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</si>
  <si>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</si>
  <si>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</si>
  <si>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</si>
  <si>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</si>
  <si>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</si>
  <si>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</si>
  <si>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</si>
  <si>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</si>
  <si>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</si>
  <si>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</si>
  <si>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</si>
  <si>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</si>
  <si>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</si>
  <si>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</si>
  <si>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</si>
  <si>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</si>
  <si>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</si>
  <si>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</si>
  <si>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</si>
  <si>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</si>
  <si>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</si>
  <si>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</si>
  <si>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</si>
  <si>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</si>
  <si>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</si>
  <si>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</si>
  <si>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</si>
  <si>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</si>
  <si>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</si>
  <si>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</si>
  <si>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</si>
  <si>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</si>
  <si>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</si>
  <si>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</si>
  <si>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</si>
  <si>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</si>
  <si>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</si>
  <si>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</si>
  <si>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</si>
  <si>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</si>
  <si>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</si>
  <si>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</si>
  <si>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</si>
  <si>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</si>
  <si>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</si>
  <si>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</si>
  <si>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</si>
  <si>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</si>
  <si>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</si>
  <si>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</si>
  <si>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</si>
  <si>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</si>
  <si>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</si>
  <si>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</si>
  <si>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</si>
  <si>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</si>
  <si>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</si>
  <si>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</si>
  <si>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</si>
  <si>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</si>
  <si>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</si>
  <si>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</si>
  <si>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</si>
  <si>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</si>
  <si>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</si>
  <si>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</si>
  <si>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</si>
  <si>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</si>
  <si>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</si>
  <si>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</si>
  <si>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</si>
  <si>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</si>
  <si>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</si>
  <si>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</si>
  <si>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</si>
  <si>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</si>
  <si>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</si>
  <si>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</si>
  <si>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</si>
  <si>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</si>
  <si>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</si>
  <si>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</si>
  <si>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</si>
  <si>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</si>
  <si>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</si>
  <si>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</si>
  <si>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</si>
  <si>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</si>
  <si>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</si>
  <si>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</si>
  <si>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</si>
  <si>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</si>
  <si>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</si>
  <si>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</si>
  <si>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</si>
  <si>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</si>
  <si>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</si>
  <si>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</si>
  <si>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</si>
  <si>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</si>
  <si>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</si>
  <si>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</si>
  <si>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</si>
  <si>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</si>
  <si>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</si>
  <si>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</si>
  <si>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</si>
  <si>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</si>
  <si>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</si>
  <si>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</si>
  <si>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</si>
  <si>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</si>
  <si>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</si>
  <si>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</si>
  <si>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</si>
  <si>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</si>
  <si>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</si>
  <si>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</si>
  <si>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</si>
  <si>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</si>
  <si>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</si>
  <si>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</si>
  <si>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</si>
  <si>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</si>
  <si>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</si>
  <si>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</si>
  <si>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</si>
  <si>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</si>
  <si>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</si>
  <si>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</si>
  <si>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</si>
  <si>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</si>
  <si>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</si>
  <si>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</si>
  <si>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</si>
  <si>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</si>
  <si>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</si>
  <si>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</si>
  <si>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</si>
  <si>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</si>
  <si>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</si>
  <si>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</si>
  <si>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</si>
  <si>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</si>
  <si>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</si>
  <si>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</si>
  <si>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</si>
  <si>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</si>
  <si>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</si>
  <si>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</si>
  <si>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</si>
  <si>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</si>
  <si>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</si>
  <si>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</si>
  <si>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</si>
  <si>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</si>
  <si>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</si>
  <si>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</si>
  <si>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</si>
  <si>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</si>
  <si>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</si>
  <si>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</si>
  <si>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</si>
  <si>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</si>
  <si>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</si>
  <si>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</si>
  <si>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</si>
  <si>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</si>
  <si>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</si>
  <si>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</si>
  <si>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</si>
  <si>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</si>
  <si>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</si>
  <si>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</si>
  <si>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</si>
  <si>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</si>
  <si>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</si>
  <si>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</si>
  <si>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</si>
  <si>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</si>
  <si>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</si>
  <si>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</si>
  <si>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</si>
  <si>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</si>
  <si>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</si>
  <si>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</si>
  <si>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</si>
  <si>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</si>
  <si>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</si>
  <si>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</si>
  <si>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</si>
  <si>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</si>
  <si>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</si>
  <si>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</si>
  <si>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</si>
  <si>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</si>
  <si>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</si>
  <si>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</si>
  <si>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</si>
  <si>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</si>
  <si>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</si>
  <si>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</si>
  <si>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</si>
  <si>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</si>
  <si>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</si>
  <si>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</si>
  <si>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</si>
  <si>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</si>
  <si>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</si>
  <si>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</si>
  <si>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</si>
  <si>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</si>
  <si>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</si>
  <si>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</si>
  <si>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</si>
  <si>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</si>
  <si>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</si>
  <si>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</si>
  <si>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</si>
  <si>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</si>
  <si>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</si>
  <si>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</si>
  <si>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</si>
  <si>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</si>
  <si>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</si>
  <si>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</si>
  <si>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</si>
  <si>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</si>
  <si>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</si>
  <si>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</si>
  <si>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</si>
  <si>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</si>
  <si>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</si>
  <si>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</si>
  <si>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</si>
  <si>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</si>
  <si>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</si>
  <si>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</si>
  <si>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</si>
  <si>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</si>
  <si>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</si>
  <si>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</si>
  <si>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</si>
  <si>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</si>
  <si>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</si>
  <si>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</si>
  <si>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</si>
  <si>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</si>
  <si>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</si>
  <si>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</si>
  <si>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</si>
  <si>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</si>
  <si>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</si>
  <si>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</si>
  <si>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</si>
  <si>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</si>
  <si>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</si>
  <si>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</si>
  <si>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</si>
  <si>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</si>
  <si>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</si>
  <si>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</si>
  <si>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</si>
  <si>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</si>
  <si>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</si>
  <si>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</si>
  <si>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</si>
  <si>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</si>
  <si>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</si>
  <si>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</si>
  <si>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</si>
  <si>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</si>
  <si>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</si>
  <si>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</si>
  <si>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</si>
  <si>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</si>
  <si>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</si>
  <si>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</si>
  <si>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</si>
  <si>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</si>
  <si>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</si>
  <si>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</si>
  <si>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</si>
  <si>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</si>
  <si>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</si>
  <si>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</si>
  <si>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</si>
  <si>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</si>
  <si>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</si>
  <si>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</si>
  <si>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</si>
  <si>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</si>
  <si>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</si>
  <si>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</si>
  <si>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</si>
  <si>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</si>
  <si>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</si>
  <si>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</si>
  <si>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</si>
  <si>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</si>
  <si>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</si>
  <si>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</si>
  <si>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</si>
  <si>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</si>
  <si>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</si>
  <si>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</si>
  <si>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</si>
  <si>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</si>
  <si>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</si>
  <si>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</si>
  <si>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</si>
  <si>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</si>
  <si>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</si>
  <si>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</si>
  <si>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</si>
  <si>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</si>
  <si>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</si>
  <si>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</si>
  <si>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</si>
  <si>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</si>
  <si>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</si>
  <si>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</si>
  <si>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</si>
  <si>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</si>
  <si>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</si>
  <si>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</si>
  <si>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</si>
  <si>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</si>
  <si>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</si>
  <si>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</si>
  <si>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</si>
  <si>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</si>
  <si>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</si>
  <si>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</si>
  <si>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</si>
  <si>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</si>
  <si>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</si>
  <si>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</si>
  <si>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</si>
  <si>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</si>
  <si>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</si>
  <si>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</si>
  <si>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</si>
  <si>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</si>
  <si>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</si>
  <si>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</si>
  <si>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</si>
  <si>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</si>
  <si>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</si>
  <si>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</si>
  <si>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</si>
  <si>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</si>
  <si>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</si>
  <si>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</si>
  <si>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</si>
  <si>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</si>
  <si>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</si>
  <si>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</si>
  <si>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</si>
  <si>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</si>
  <si>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</si>
  <si>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</si>
  <si>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</si>
  <si>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</si>
  <si>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</si>
  <si>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</si>
  <si>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</si>
  <si>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</si>
  <si>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</si>
  <si>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</si>
  <si>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</si>
  <si>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</si>
  <si>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</si>
  <si>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</si>
  <si>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</si>
  <si>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</si>
  <si>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</si>
  <si>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</si>
  <si>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</si>
  <si>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</si>
  <si>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</si>
  <si>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</si>
  <si>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</si>
  <si>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</si>
  <si>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</si>
  <si>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</si>
  <si>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</si>
  <si>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</si>
  <si>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</si>
  <si>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</si>
  <si>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</si>
  <si>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</si>
  <si>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</si>
  <si>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</si>
  <si>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</si>
  <si>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</si>
  <si>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</si>
  <si>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</si>
  <si>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</si>
  <si>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</si>
  <si>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</si>
  <si>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</si>
  <si>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</si>
  <si>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</si>
  <si>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</si>
  <si>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</si>
  <si>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</si>
  <si>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</si>
  <si>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</si>
  <si>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</si>
  <si>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</si>
  <si>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</si>
  <si>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</si>
  <si>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</si>
  <si>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</si>
  <si>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</si>
  <si>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</si>
  <si>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</si>
  <si>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</si>
  <si>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</si>
  <si>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</si>
  <si>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</si>
  <si>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</si>
  <si>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</si>
  <si>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</si>
  <si>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</si>
  <si>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</si>
  <si>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</si>
  <si>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</si>
  <si>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</si>
  <si>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</si>
  <si>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</si>
  <si>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</si>
  <si>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</si>
  <si>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</si>
  <si>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</si>
  <si>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</si>
  <si>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</si>
  <si>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</si>
  <si>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</si>
  <si>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</si>
  <si>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</si>
  <si>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</si>
  <si>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</si>
  <si>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</si>
  <si>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</si>
  <si>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</si>
  <si>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</si>
  <si>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</si>
  <si>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</si>
  <si>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</si>
  <si>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</si>
  <si>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</si>
  <si>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</si>
  <si>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</si>
  <si>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</si>
  <si>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</si>
  <si>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</si>
  <si>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</si>
  <si>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</si>
  <si>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</si>
  <si>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</si>
  <si>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</si>
  <si>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</si>
  <si>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</si>
  <si>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</si>
  <si>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</si>
  <si>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</si>
  <si>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</si>
  <si>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</si>
  <si>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</si>
  <si>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</si>
  <si>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</si>
  <si>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</si>
  <si>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</si>
  <si>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</si>
  <si>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</si>
  <si>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</si>
  <si>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</si>
  <si>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</si>
  <si>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</si>
  <si>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</si>
  <si>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</si>
  <si>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</si>
  <si>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</si>
  <si>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</si>
  <si>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</si>
  <si>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</si>
  <si>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</si>
  <si>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</si>
  <si>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</si>
  <si>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</si>
  <si>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</si>
  <si>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</si>
  <si>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</si>
  <si>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</si>
  <si>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</si>
  <si>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</si>
  <si>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</si>
  <si>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</si>
  <si>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</si>
  <si>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</si>
  <si>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</si>
  <si>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</si>
  <si>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</si>
  <si>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</si>
  <si>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</si>
  <si>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</si>
  <si>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</si>
  <si>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</si>
  <si>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</si>
  <si>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</si>
  <si>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</si>
  <si>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</si>
  <si>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</si>
  <si>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</si>
  <si>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</si>
  <si>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</si>
  <si>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</si>
  <si>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</si>
  <si>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</si>
  <si>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</si>
  <si>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</si>
  <si>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</si>
  <si>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</si>
  <si>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</si>
  <si>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</si>
  <si>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</si>
  <si>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</si>
  <si>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</si>
  <si>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</si>
  <si>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</si>
  <si>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</si>
  <si>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</si>
  <si>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</si>
  <si>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</si>
  <si>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</si>
  <si>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</si>
  <si>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</si>
  <si>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</si>
  <si>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</si>
  <si>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</si>
  <si>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</si>
  <si>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</si>
  <si>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</si>
  <si>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</si>
  <si>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</si>
  <si>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</si>
  <si>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</si>
  <si>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</si>
  <si>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</si>
  <si>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</si>
  <si>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</si>
  <si>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</si>
  <si>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</si>
  <si>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</si>
  <si>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</si>
  <si>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</si>
  <si>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</si>
  <si>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</si>
  <si>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</si>
  <si>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</si>
  <si>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</si>
  <si>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</si>
  <si>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</si>
  <si>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</si>
  <si>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</si>
  <si>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</si>
  <si>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</si>
  <si>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</si>
  <si>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</si>
  <si>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</si>
  <si>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</si>
  <si>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</si>
  <si>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</si>
  <si>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</si>
  <si>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</si>
  <si>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</si>
  <si>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</si>
  <si>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</si>
  <si>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</si>
  <si>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</si>
  <si>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</si>
  <si>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</si>
  <si>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</si>
  <si>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</si>
  <si>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</si>
  <si>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</si>
  <si>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</si>
  <si>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</si>
  <si>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</si>
  <si>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</si>
  <si>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</si>
  <si>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</si>
  <si>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</si>
  <si>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</si>
  <si>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</si>
  <si>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</si>
  <si>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</si>
  <si>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</si>
  <si>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</si>
  <si>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</si>
  <si>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</si>
  <si>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</si>
  <si>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</si>
  <si>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</si>
  <si>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</si>
  <si>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</si>
  <si>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</si>
  <si>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</si>
  <si>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</si>
  <si>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</si>
  <si>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</si>
  <si>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</si>
  <si>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</si>
  <si>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</si>
  <si>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</si>
  <si>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</si>
  <si>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</si>
  <si>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</si>
  <si>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</si>
  <si>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</si>
  <si>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</si>
  <si>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</si>
  <si>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</si>
  <si>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</si>
  <si>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</si>
  <si>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</si>
  <si>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</si>
  <si>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</si>
  <si>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</si>
  <si>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</si>
  <si>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</si>
  <si>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</si>
  <si>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</si>
  <si>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</si>
  <si>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</si>
  <si>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</si>
  <si>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</si>
  <si>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</si>
  <si>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</si>
  <si>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</si>
  <si>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</si>
  <si>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</si>
  <si>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</si>
  <si>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</si>
  <si>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</si>
  <si>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</si>
  <si>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</si>
  <si>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</si>
  <si>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</si>
  <si>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</si>
  <si>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</si>
  <si>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</si>
  <si>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</si>
  <si>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</si>
  <si>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</si>
  <si>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</si>
  <si>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</si>
  <si>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</si>
  <si>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</si>
  <si>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</si>
  <si>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</si>
  <si>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</si>
  <si>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</si>
  <si>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</si>
  <si>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</si>
  <si>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</si>
  <si>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</si>
  <si>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</si>
  <si>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</si>
  <si>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</si>
  <si>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</si>
  <si>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</si>
  <si>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</si>
  <si>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</si>
  <si>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</si>
  <si>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</si>
  <si>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</si>
  <si>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</si>
  <si>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</si>
  <si>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</si>
  <si>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</si>
  <si>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</si>
  <si>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</si>
  <si>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</si>
  <si>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</si>
  <si>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</si>
  <si>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</si>
  <si>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</si>
  <si>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</si>
  <si>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</si>
  <si>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</si>
  <si>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</si>
  <si>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</si>
  <si>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</si>
  <si>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</si>
  <si>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</si>
  <si>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</si>
  <si>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</si>
  <si>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</si>
  <si>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</si>
  <si>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</si>
  <si>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</si>
  <si>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</si>
  <si>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</si>
  <si>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</si>
  <si>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</si>
  <si>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</si>
  <si>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</si>
  <si>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</si>
  <si>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</si>
  <si>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</si>
  <si>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</si>
  <si>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</si>
  <si>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</si>
  <si>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</si>
  <si>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</si>
  <si>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</si>
  <si>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</si>
  <si>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</si>
  <si>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</si>
  <si>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</si>
  <si>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</si>
  <si>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</si>
  <si>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</si>
  <si>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</si>
  <si>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</si>
  <si>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</si>
  <si>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</si>
  <si>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</si>
  <si>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</si>
  <si>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</si>
  <si>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</si>
  <si>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</si>
  <si>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</si>
  <si>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</si>
  <si>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</si>
  <si>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</si>
  <si>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</si>
  <si>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</si>
  <si>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</si>
  <si>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</si>
  <si>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</si>
  <si>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</si>
  <si>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</si>
  <si>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</si>
  <si>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</si>
  <si>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</si>
  <si>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</si>
  <si>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</si>
  <si>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</si>
  <si>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</si>
  <si>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</si>
  <si>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</si>
  <si>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</si>
  <si>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</si>
  <si>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</si>
  <si>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</si>
  <si>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</si>
  <si>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</si>
  <si>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</si>
  <si>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</si>
  <si>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</si>
  <si>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</si>
  <si>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</si>
  <si>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</si>
  <si>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</si>
  <si>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</si>
  <si>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</si>
  <si>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</si>
  <si>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</si>
  <si>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</si>
  <si>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</si>
  <si>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</si>
  <si>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</si>
  <si>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</si>
  <si>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</si>
  <si>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</si>
  <si>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</si>
  <si>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</si>
  <si>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</si>
  <si>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</si>
  <si>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</si>
  <si>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</si>
  <si>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</si>
  <si>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</si>
  <si>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</si>
  <si>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</si>
  <si>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</si>
  <si>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</si>
  <si>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</si>
  <si>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</si>
  <si>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</si>
  <si>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</si>
  <si>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</si>
  <si>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</si>
  <si>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</si>
  <si>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</si>
  <si>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</si>
  <si>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</si>
  <si>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</si>
  <si>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</si>
  <si>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</si>
  <si>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</si>
  <si>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</si>
  <si>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</si>
  <si>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</si>
  <si>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</si>
  <si>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</si>
  <si>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</si>
  <si>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</si>
  <si>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</si>
  <si>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</si>
  <si>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</si>
  <si>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</si>
  <si>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</si>
  <si>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</si>
  <si>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</si>
  <si>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</si>
  <si>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</si>
  <si>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</si>
  <si>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</si>
  <si>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</si>
  <si>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</si>
  <si>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</si>
  <si>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</si>
  <si>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</si>
  <si>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</si>
  <si>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</si>
  <si>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</si>
  <si>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</si>
  <si>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</si>
  <si>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</si>
  <si>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</si>
  <si>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</si>
  <si>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</si>
  <si>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</si>
  <si>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</si>
  <si>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</si>
  <si>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</si>
  <si>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</si>
  <si>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</si>
  <si>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</si>
  <si>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</si>
  <si>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</si>
  <si>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</si>
  <si>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</si>
  <si>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</si>
  <si>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</si>
  <si>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</si>
  <si>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</si>
  <si>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</si>
  <si>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</si>
  <si>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</si>
  <si>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</si>
  <si>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</si>
  <si>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</si>
  <si>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</si>
  <si>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</si>
  <si>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</si>
  <si>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</si>
  <si>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</si>
  <si>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</si>
  <si>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</si>
  <si>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</si>
  <si>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</si>
  <si>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</si>
  <si>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</si>
  <si>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</si>
  <si>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</si>
  <si>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</si>
  <si>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</si>
  <si>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</si>
  <si>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</si>
  <si>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</si>
  <si>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</si>
  <si>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</si>
  <si>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</si>
  <si>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</si>
  <si>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</si>
  <si>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</si>
  <si>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</si>
  <si>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</si>
  <si>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</si>
  <si>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</si>
  <si>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</si>
  <si>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</si>
  <si>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</si>
  <si>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</si>
  <si>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</si>
  <si>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</si>
  <si>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</si>
  <si>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</si>
  <si>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</si>
  <si>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</si>
  <si>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</si>
  <si>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</si>
  <si>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</si>
  <si>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</si>
  <si>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</si>
  <si>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</si>
  <si>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</si>
  <si>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</si>
  <si>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</si>
  <si>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</si>
  <si>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</si>
  <si>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</si>
  <si>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</si>
  <si>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</si>
  <si>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</si>
  <si>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</si>
  <si>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</si>
  <si>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</si>
  <si>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</si>
  <si>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</si>
  <si>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</si>
  <si>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</si>
  <si>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</si>
  <si>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</si>
  <si>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</si>
  <si>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</si>
  <si>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</si>
  <si>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</si>
  <si>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</si>
  <si>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</si>
  <si>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</si>
  <si>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</si>
  <si>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</si>
  <si>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</si>
  <si>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</si>
  <si>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</si>
  <si>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</si>
  <si>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</si>
  <si>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</si>
  <si>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</si>
  <si>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</si>
  <si>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</si>
  <si>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</si>
  <si>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</si>
  <si>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</si>
  <si>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</si>
  <si>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</si>
  <si>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</si>
  <si>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</si>
  <si>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</si>
  <si>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</si>
  <si>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</si>
  <si>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</si>
  <si>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</si>
  <si>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</si>
  <si>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</si>
  <si>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</si>
  <si>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</si>
  <si>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</si>
  <si>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</si>
  <si>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</si>
  <si>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</si>
  <si>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</si>
  <si>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</si>
  <si>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</si>
  <si>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</si>
  <si>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</si>
  <si>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</si>
  <si>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</si>
  <si>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</si>
  <si>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</si>
  <si>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</si>
  <si>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</si>
  <si>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</si>
  <si>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</si>
  <si>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</si>
  <si>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</si>
  <si>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</si>
  <si>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</si>
  <si>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</si>
  <si>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</si>
  <si>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</si>
  <si>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</si>
  <si>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</si>
  <si>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</si>
  <si>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</si>
  <si>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</si>
  <si>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</si>
  <si>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</si>
  <si>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</si>
  <si>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</si>
  <si>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</si>
  <si>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</si>
  <si>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</si>
  <si>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</si>
  <si>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</si>
  <si>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</si>
  <si>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</si>
  <si>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</si>
  <si>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</si>
  <si>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</si>
  <si>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</si>
  <si>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</si>
  <si>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</si>
  <si>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</si>
  <si>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</si>
  <si>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</si>
  <si>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</si>
  <si>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</si>
  <si>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</si>
  <si>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</si>
  <si>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</si>
  <si>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</si>
  <si>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</si>
  <si>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</si>
  <si>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</si>
  <si>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</si>
  <si>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</si>
  <si>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</si>
  <si>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</si>
  <si>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</si>
  <si>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</si>
  <si>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</si>
  <si>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</si>
  <si>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</si>
  <si>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</si>
  <si>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</si>
  <si>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</si>
  <si>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</si>
  <si>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</si>
  <si>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</si>
  <si>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</si>
  <si>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</si>
  <si>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</si>
  <si>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</si>
  <si>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</si>
  <si>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</si>
  <si>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</si>
  <si>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</si>
  <si>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</si>
  <si>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</si>
  <si>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</si>
  <si>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</si>
  <si>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</si>
  <si>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</si>
  <si>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</si>
  <si>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</si>
  <si>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</si>
  <si>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</si>
  <si>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</si>
  <si>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</si>
  <si>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</si>
  <si>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</si>
  <si>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</si>
  <si>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</si>
  <si>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</si>
  <si>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</si>
  <si>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</si>
  <si>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</si>
  <si>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</si>
  <si>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</si>
  <si>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</si>
  <si>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</si>
  <si>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</si>
  <si>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</si>
  <si>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</si>
  <si>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</si>
  <si>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</si>
  <si>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</si>
  <si>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</si>
  <si>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</si>
  <si>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</si>
  <si>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</si>
  <si>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</si>
  <si>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</si>
  <si>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</si>
  <si>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</si>
  <si>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</si>
  <si>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</si>
  <si>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</si>
  <si>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</si>
  <si>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</si>
  <si>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</si>
  <si>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</si>
  <si>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</si>
  <si>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</si>
  <si>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</si>
  <si>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</si>
  <si>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</si>
  <si>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</si>
  <si>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</si>
  <si>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</si>
  <si>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</si>
  <si>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</si>
  <si>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</si>
  <si>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</si>
  <si>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</si>
  <si>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</si>
  <si>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</si>
  <si>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</si>
  <si>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</si>
  <si>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</si>
  <si>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</si>
  <si>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</si>
  <si>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</si>
  <si>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</si>
  <si>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</si>
  <si>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</si>
  <si>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</si>
  <si>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</si>
  <si>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</si>
  <si>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</si>
  <si>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</si>
  <si>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</si>
  <si>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</si>
  <si>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</si>
  <si>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</si>
  <si>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</si>
  <si>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</si>
  <si>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</si>
  <si>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</si>
  <si>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</si>
  <si>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</si>
  <si>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</si>
  <si>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</si>
  <si>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</si>
  <si>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</si>
  <si>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</si>
  <si>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</si>
  <si>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</si>
  <si>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</si>
  <si>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</si>
  <si>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</si>
  <si>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</si>
  <si>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</si>
  <si>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</si>
  <si>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</si>
  <si>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</si>
  <si>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</si>
  <si>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</si>
  <si>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</si>
  <si>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</si>
  <si>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</si>
  <si>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</si>
  <si>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</si>
  <si>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</si>
  <si>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</si>
  <si>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</si>
  <si>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</si>
  <si>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</si>
  <si>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</si>
  <si>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</si>
  <si>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</si>
  <si>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</si>
  <si>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</si>
  <si>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</si>
  <si>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</si>
  <si>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</si>
  <si>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</si>
  <si>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</si>
  <si>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</si>
  <si>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</si>
  <si>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</si>
  <si>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</si>
  <si>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</si>
  <si>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</si>
  <si>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</si>
  <si>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</si>
  <si>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</si>
  <si>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</si>
  <si>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</si>
  <si>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</si>
  <si>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</si>
  <si>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</si>
  <si>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</si>
  <si>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</si>
  <si>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</si>
  <si>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</si>
  <si>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</si>
  <si>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</si>
  <si>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</si>
  <si>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</si>
  <si>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</si>
  <si>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</si>
  <si>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</si>
  <si>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</si>
  <si>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</si>
  <si>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</si>
  <si>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</si>
  <si>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</si>
  <si>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</si>
  <si>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</si>
  <si>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</si>
  <si>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</si>
  <si>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</si>
  <si>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</si>
  <si>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</si>
  <si>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</si>
  <si>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</si>
  <si>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</si>
  <si>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</si>
  <si>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</si>
  <si>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</si>
  <si>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</si>
  <si>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</si>
  <si>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</si>
  <si>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</si>
  <si>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</si>
  <si>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</si>
  <si>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</si>
  <si>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</si>
  <si>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</si>
  <si>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</si>
  <si>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</si>
  <si>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</si>
  <si>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</si>
  <si>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</si>
  <si>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</si>
  <si>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</si>
  <si>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</si>
  <si>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</si>
  <si>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</si>
  <si>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</si>
  <si>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</si>
  <si>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</si>
  <si>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</si>
  <si>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</si>
  <si>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</si>
  <si>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</si>
  <si>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</si>
  <si>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</si>
  <si>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</si>
  <si>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</si>
  <si>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</si>
  <si>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</si>
  <si>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</si>
  <si>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</si>
  <si>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</si>
  <si>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</si>
  <si>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</si>
  <si>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</si>
  <si>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</si>
  <si>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</si>
  <si>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</si>
  <si>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</si>
  <si>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</si>
  <si>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</si>
  <si>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</si>
  <si>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</si>
  <si>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</si>
  <si>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</si>
  <si>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</si>
  <si>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</si>
  <si>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</si>
  <si>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</si>
  <si>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</si>
  <si>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</si>
  <si>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</si>
  <si>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</si>
  <si>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</si>
  <si>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</si>
  <si>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</si>
  <si>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</si>
  <si>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</si>
  <si>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</si>
  <si>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</si>
  <si>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</si>
  <si>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</si>
  <si>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</si>
  <si>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</si>
  <si>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</si>
  <si>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</si>
  <si>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</si>
  <si>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</si>
  <si>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</si>
  <si>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</si>
  <si>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</si>
  <si>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</si>
  <si>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</si>
  <si>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</si>
  <si>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</si>
  <si>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</si>
  <si>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</si>
  <si>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</si>
  <si>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</si>
  <si>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</si>
  <si>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</si>
  <si>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</si>
  <si>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</si>
  <si>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</si>
  <si>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</si>
  <si>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</si>
  <si>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</si>
  <si>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</si>
  <si>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</si>
  <si>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</si>
  <si>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</si>
  <si>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</si>
  <si>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</si>
  <si>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</si>
  <si>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</si>
  <si>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</si>
  <si>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</si>
  <si>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</si>
  <si>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</si>
  <si>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</si>
  <si>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</si>
  <si>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</si>
  <si>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</si>
  <si>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</si>
  <si>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</si>
  <si>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</si>
  <si>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</si>
  <si>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</si>
  <si>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</si>
  <si>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</si>
  <si>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</si>
  <si>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</si>
  <si>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</si>
  <si>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</si>
  <si>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</si>
  <si>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</si>
  <si>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</si>
  <si>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</si>
  <si>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</si>
  <si>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</si>
  <si>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</si>
  <si>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</si>
  <si>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</si>
  <si>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</si>
  <si>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</si>
  <si>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</si>
  <si>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</si>
  <si>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</si>
  <si>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</si>
  <si>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</si>
  <si>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</si>
  <si>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</si>
  <si>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</si>
  <si>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</si>
  <si>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</si>
  <si>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</si>
  <si>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</si>
  <si>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</si>
  <si>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</si>
  <si>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</si>
  <si>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</si>
  <si>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</si>
  <si>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</si>
  <si>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</si>
  <si>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</si>
  <si>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</si>
  <si>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</si>
  <si>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</si>
  <si>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</si>
  <si>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</si>
  <si>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</si>
  <si>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</si>
  <si>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</si>
  <si>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</si>
  <si>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</si>
  <si>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</si>
  <si>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</si>
  <si>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</si>
  <si>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</si>
  <si>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</si>
  <si>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</si>
  <si>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</si>
  <si>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</si>
  <si>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</si>
  <si>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</si>
  <si>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</si>
  <si>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</si>
  <si>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</si>
  <si>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</si>
  <si>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</si>
  <si>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</si>
  <si>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</si>
  <si>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</si>
  <si>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</si>
  <si>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</si>
  <si>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</si>
  <si>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</si>
  <si>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</si>
  <si>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</si>
  <si>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</si>
  <si>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</si>
  <si>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</si>
  <si>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</si>
  <si>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</si>
  <si>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</si>
  <si>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</si>
  <si>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</si>
  <si>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</si>
  <si>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</si>
  <si>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</si>
  <si>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</si>
  <si>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</si>
  <si>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</si>
  <si>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</si>
  <si>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</si>
  <si>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</si>
  <si>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</si>
  <si>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</si>
  <si>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</si>
  <si>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</si>
  <si>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</si>
  <si>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</si>
  <si>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</si>
  <si>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</si>
  <si>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</si>
  <si>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</si>
  <si>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</si>
  <si>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</si>
  <si>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</si>
  <si>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</si>
  <si>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</si>
  <si>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</si>
  <si>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</si>
  <si>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</si>
  <si>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</si>
  <si>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</si>
  <si>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</si>
  <si>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</si>
  <si>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</si>
  <si>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</si>
  <si>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</si>
  <si>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</si>
  <si>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</si>
  <si>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</si>
  <si>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</si>
  <si>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</si>
  <si>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</si>
  <si>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</si>
  <si>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</si>
  <si>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</si>
  <si>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</si>
  <si>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</si>
  <si>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</si>
  <si>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</si>
  <si>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</si>
  <si>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</si>
  <si>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</si>
  <si>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</si>
  <si>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</si>
  <si>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</si>
  <si>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</si>
  <si>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</si>
  <si>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</si>
  <si>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</si>
  <si>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</si>
  <si>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</si>
  <si>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</si>
  <si>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</si>
  <si>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</si>
  <si>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</si>
  <si>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</si>
  <si>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</si>
  <si>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</si>
  <si>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</si>
  <si>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</si>
  <si>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</si>
  <si>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</si>
  <si>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</si>
  <si>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</si>
  <si>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</si>
  <si>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</si>
  <si>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</si>
  <si>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</si>
  <si>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</si>
  <si>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</si>
  <si>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</si>
  <si>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</si>
  <si>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</si>
  <si>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</si>
  <si>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</si>
  <si>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</si>
  <si>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</si>
  <si>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</si>
  <si>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</si>
  <si>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</si>
  <si>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</si>
  <si>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</si>
  <si>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</si>
  <si>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</si>
  <si>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</si>
  <si>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</si>
  <si>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</si>
  <si>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</si>
  <si>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</si>
  <si>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</si>
  <si>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</si>
  <si>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</si>
  <si>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</si>
  <si>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</si>
  <si>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</si>
  <si>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</si>
  <si>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</si>
  <si>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</si>
  <si>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</si>
  <si>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</si>
  <si>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</si>
  <si>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</si>
  <si>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</si>
  <si>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</si>
  <si>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</si>
  <si>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</si>
  <si>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</si>
  <si>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</si>
  <si>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</si>
  <si>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</si>
  <si>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</si>
  <si>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</si>
  <si>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</si>
  <si>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</si>
  <si>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</si>
  <si>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</si>
  <si>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</si>
  <si>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</si>
  <si>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</si>
  <si>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</si>
  <si>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</si>
  <si>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</si>
  <si>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</si>
  <si>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</si>
  <si>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</si>
  <si>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</si>
  <si>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</si>
  <si>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</si>
  <si>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</si>
  <si>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</si>
  <si>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</si>
  <si>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</si>
  <si>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</si>
  <si>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</si>
  <si>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</si>
  <si>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</si>
  <si>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</si>
  <si>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</si>
  <si>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</si>
  <si>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</si>
  <si>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</si>
  <si>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</si>
  <si>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</si>
  <si>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</si>
  <si>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</si>
  <si>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</si>
  <si>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</si>
  <si>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</si>
  <si>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</si>
  <si>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</si>
  <si>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</si>
  <si>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</si>
  <si>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</si>
  <si>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</si>
  <si>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</si>
  <si>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</si>
  <si>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</si>
  <si>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</si>
  <si>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</si>
  <si>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</si>
  <si>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</si>
  <si>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</si>
  <si>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</si>
  <si>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</si>
  <si>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</si>
  <si>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</si>
  <si>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</si>
  <si>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</si>
  <si>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</si>
  <si>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</si>
  <si>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</si>
  <si>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</si>
  <si>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</si>
  <si>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</si>
  <si>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</si>
  <si>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</si>
  <si>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</si>
  <si>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</si>
  <si>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</si>
  <si>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</si>
  <si>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</si>
  <si>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</si>
  <si>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</si>
  <si>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</si>
  <si>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</si>
  <si>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</si>
  <si>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</si>
  <si>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</si>
  <si>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</si>
  <si>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</si>
  <si>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</si>
  <si>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</si>
  <si>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</si>
  <si>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</si>
  <si>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</si>
  <si>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</si>
  <si>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</si>
  <si>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</si>
  <si>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</si>
  <si>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</si>
  <si>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</si>
  <si>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</si>
  <si>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</si>
  <si>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</si>
  <si>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</si>
  <si>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</si>
  <si>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</si>
  <si>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</si>
  <si>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</si>
  <si>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</si>
  <si>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</si>
  <si>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</si>
  <si>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</si>
  <si>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</si>
  <si>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</si>
  <si>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</si>
  <si>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</si>
  <si>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</si>
  <si>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</si>
  <si>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</si>
  <si>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</si>
  <si>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</si>
  <si>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</si>
  <si>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</si>
  <si>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</si>
  <si>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</si>
  <si>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</si>
  <si>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</si>
  <si>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</si>
  <si>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</si>
  <si>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</si>
  <si>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</si>
  <si>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</si>
  <si>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</si>
  <si>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</si>
  <si>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</si>
  <si>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</si>
  <si>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</si>
  <si>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</si>
  <si>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</si>
  <si>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</si>
  <si>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</si>
  <si>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</si>
  <si>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</si>
  <si>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</si>
  <si>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</si>
  <si>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</si>
  <si>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</si>
  <si>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</si>
  <si>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</si>
  <si>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</si>
  <si>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</si>
  <si>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</si>
  <si>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</si>
  <si>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</si>
  <si>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</si>
  <si>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</si>
  <si>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</si>
  <si>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</si>
  <si>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</si>
  <si>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</si>
  <si>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</si>
  <si>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</si>
  <si>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</si>
  <si>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</si>
  <si>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</si>
  <si>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</si>
  <si>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</si>
  <si>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</si>
  <si>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</si>
  <si>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</si>
  <si>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</si>
  <si>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</si>
  <si>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</si>
  <si>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</si>
  <si>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</si>
  <si>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</si>
  <si>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</si>
  <si>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</si>
  <si>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</si>
  <si>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</si>
  <si>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</si>
  <si>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</si>
  <si>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</si>
  <si>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</si>
  <si>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</si>
  <si>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</si>
  <si>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</si>
  <si>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</si>
  <si>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</si>
  <si>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</si>
  <si>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</si>
  <si>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</si>
  <si>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</si>
  <si>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</si>
  <si>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</si>
  <si>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</si>
  <si>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</si>
  <si>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</si>
  <si>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</si>
  <si>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</si>
  <si>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</si>
  <si>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</si>
  <si>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</si>
  <si>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</si>
  <si>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</si>
  <si>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</si>
  <si>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</si>
  <si>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</si>
  <si>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</si>
  <si>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</si>
  <si>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</si>
  <si>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</si>
  <si>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</si>
  <si>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</si>
  <si>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</si>
  <si>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</si>
  <si>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</si>
  <si>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</si>
  <si>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</si>
  <si>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</si>
  <si>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</si>
  <si>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</si>
  <si>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</si>
  <si>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</si>
  <si>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</si>
  <si>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</si>
  <si>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</si>
  <si>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</si>
  <si>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</si>
  <si>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</si>
  <si>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</si>
  <si>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</si>
  <si>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</si>
  <si>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</si>
  <si>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</si>
  <si>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</si>
  <si>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</si>
  <si>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</si>
  <si>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</si>
  <si>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</si>
  <si>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</si>
  <si>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</si>
  <si>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</si>
  <si>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</si>
  <si>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</si>
  <si>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</si>
  <si>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</si>
  <si>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</si>
  <si>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</si>
  <si>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</si>
  <si>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</si>
  <si>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</si>
  <si>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</si>
  <si>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</si>
  <si>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</si>
  <si>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</si>
  <si>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</si>
  <si>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</si>
  <si>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</si>
  <si>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</si>
  <si>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</si>
  <si>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</si>
  <si>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</si>
  <si>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</si>
  <si>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</si>
  <si>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</si>
  <si>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</si>
  <si>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</si>
  <si>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</si>
  <si>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</si>
  <si>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</si>
  <si>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</si>
  <si>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</si>
  <si>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</si>
  <si>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</si>
  <si>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</si>
  <si>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</si>
  <si>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</si>
  <si>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</si>
  <si>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</si>
  <si>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</si>
  <si>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</si>
  <si>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</si>
  <si>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</si>
  <si>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</si>
  <si>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</si>
  <si>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</si>
  <si>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</si>
  <si>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</si>
  <si>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</si>
  <si>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</si>
  <si>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</si>
  <si>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</si>
  <si>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</si>
  <si>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</si>
  <si>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</si>
  <si>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</si>
  <si>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</si>
  <si>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</si>
  <si>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</si>
  <si>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</si>
  <si>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</si>
  <si>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</si>
  <si>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</si>
  <si>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</si>
  <si>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</si>
  <si>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</si>
  <si>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</si>
  <si>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</si>
  <si>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</si>
  <si>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</si>
  <si>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</si>
  <si>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</si>
  <si>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</si>
  <si>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</si>
  <si>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</si>
  <si>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</si>
  <si>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</si>
  <si>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</si>
  <si>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</si>
  <si>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</si>
  <si>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</si>
  <si>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</si>
  <si>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</si>
  <si>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</si>
  <si>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</si>
  <si>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</si>
  <si>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</si>
  <si>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</si>
  <si>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</si>
  <si>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</si>
  <si>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</si>
  <si>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</si>
  <si>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</si>
  <si>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</si>
  <si>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</si>
  <si>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</si>
  <si>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</si>
  <si>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</si>
  <si>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</si>
  <si>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</si>
  <si>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</si>
  <si>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</si>
  <si>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</si>
  <si>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</si>
  <si>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</si>
  <si>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</si>
  <si>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</si>
  <si>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</si>
  <si>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</si>
  <si>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</si>
  <si>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</si>
  <si>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</si>
  <si>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</si>
  <si>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</si>
  <si>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</si>
  <si>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</si>
  <si>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</si>
  <si>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</si>
  <si>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</si>
  <si>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</si>
  <si>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</si>
  <si>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</si>
  <si>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</si>
  <si>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</si>
  <si>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</si>
  <si>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</si>
  <si>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</si>
  <si>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</si>
  <si>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</si>
  <si>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</si>
  <si>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</si>
  <si>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</si>
  <si>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</si>
  <si>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</si>
  <si>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</si>
  <si>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</si>
  <si>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</si>
  <si>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</si>
  <si>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</si>
  <si>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</si>
  <si>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</si>
  <si>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</si>
  <si>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</si>
  <si>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</si>
  <si>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</si>
  <si>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</si>
  <si>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</si>
  <si>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</si>
  <si>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</si>
  <si>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</si>
  <si>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</si>
  <si>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</si>
  <si>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</si>
  <si>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</si>
  <si>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</si>
  <si>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</si>
  <si>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</si>
  <si>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</si>
  <si>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</si>
  <si>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</si>
  <si>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</si>
  <si>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</si>
  <si>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</si>
  <si>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</si>
  <si>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</si>
  <si>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</si>
  <si>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</si>
  <si>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</si>
  <si>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</si>
  <si>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</si>
  <si>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</si>
  <si>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</si>
  <si>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</si>
  <si>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</si>
  <si>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</si>
  <si>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</si>
  <si>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</si>
  <si>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</si>
  <si>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</si>
  <si>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</si>
  <si>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</si>
  <si>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</si>
  <si>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</si>
  <si>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</si>
  <si>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</si>
  <si>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</si>
  <si>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</si>
  <si>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</si>
  <si>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</si>
  <si>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</si>
  <si>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</si>
  <si>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</si>
  <si>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</si>
  <si>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</si>
  <si>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</si>
  <si>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</si>
  <si>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</si>
  <si>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</si>
  <si>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</si>
  <si>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</si>
  <si>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</si>
  <si>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</si>
  <si>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</si>
  <si>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</si>
  <si>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</si>
  <si>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</si>
  <si>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</si>
  <si>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</si>
  <si>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</si>
  <si>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</si>
  <si>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</si>
  <si>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</si>
  <si>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</si>
  <si>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</si>
  <si>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</si>
  <si>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</si>
  <si>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</si>
  <si>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</si>
  <si>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</si>
  <si>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</si>
  <si>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</si>
  <si>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</si>
  <si>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</si>
  <si>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</si>
  <si>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</si>
  <si>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</si>
  <si>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</si>
  <si>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</si>
  <si>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</si>
  <si>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</si>
  <si>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</si>
  <si>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</si>
  <si>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</si>
  <si>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</si>
  <si>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</si>
  <si>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</si>
  <si>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</si>
  <si>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</si>
  <si>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</si>
  <si>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</si>
  <si>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</si>
  <si>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</si>
  <si>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</si>
  <si>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</si>
  <si>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</si>
  <si>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</si>
  <si>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</si>
  <si>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</si>
  <si>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</si>
  <si>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</si>
  <si>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</si>
  <si>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</si>
  <si>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</si>
  <si>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</si>
  <si>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</si>
  <si>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</si>
  <si>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</si>
  <si>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</si>
  <si>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</si>
  <si>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</si>
  <si>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</si>
  <si>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</si>
  <si>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</si>
  <si>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</si>
  <si>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</si>
  <si>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</si>
  <si>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</si>
  <si>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</si>
  <si>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</si>
  <si>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</si>
  <si>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</si>
  <si>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</si>
  <si>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</si>
  <si>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</si>
  <si>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</si>
  <si>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</si>
  <si>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</si>
  <si>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</si>
  <si>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</si>
  <si>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</si>
  <si>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</si>
  <si>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</si>
  <si>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</si>
  <si>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</si>
  <si>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</si>
  <si>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</si>
  <si>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</si>
  <si>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</si>
  <si>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</si>
  <si>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</si>
  <si>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</si>
  <si>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</si>
  <si>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</si>
  <si>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</si>
  <si>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</si>
  <si>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</si>
  <si>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</si>
  <si>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</si>
  <si>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</si>
  <si>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</si>
  <si>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</si>
  <si>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</si>
  <si>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</si>
  <si>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</si>
  <si>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</si>
  <si>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</si>
  <si>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</si>
  <si>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</si>
  <si>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</si>
  <si>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</si>
  <si>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</si>
  <si>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</si>
  <si>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</si>
  <si>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</si>
  <si>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</si>
  <si>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</si>
  <si>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</si>
  <si>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</si>
  <si>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</si>
  <si>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</si>
  <si>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</si>
  <si>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</si>
  <si>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</si>
  <si>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</si>
  <si>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</si>
  <si>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</si>
  <si>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</si>
  <si>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</si>
  <si>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</si>
  <si>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</si>
  <si>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</si>
  <si>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</si>
  <si>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</si>
  <si>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</si>
  <si>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</si>
  <si>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</si>
  <si>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</si>
  <si>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</si>
  <si>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</si>
  <si>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</si>
  <si>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</si>
  <si>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</si>
  <si>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</si>
  <si>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</si>
  <si>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</si>
  <si>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</si>
  <si>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</si>
  <si>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</si>
  <si>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</si>
  <si>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</si>
  <si>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</si>
  <si>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</si>
  <si>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</si>
  <si>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</si>
  <si>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</si>
  <si>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</si>
  <si>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</si>
  <si>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</si>
  <si>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</si>
  <si>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</si>
  <si>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</si>
  <si>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</si>
  <si>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</si>
  <si>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</si>
  <si>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</si>
  <si>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</si>
  <si>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</si>
  <si>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</si>
  <si>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</si>
  <si>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</si>
  <si>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</si>
  <si>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</si>
  <si>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</si>
  <si>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</si>
  <si>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</si>
  <si>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</si>
  <si>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</si>
  <si>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</si>
  <si>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</si>
  <si>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</si>
  <si>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</si>
  <si>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</si>
  <si>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</si>
  <si>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</si>
  <si>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</si>
  <si>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</si>
  <si>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</si>
  <si>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</si>
  <si>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</si>
  <si>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</si>
  <si>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</si>
  <si>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</si>
  <si>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</si>
  <si>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</si>
  <si>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</si>
  <si>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</si>
  <si>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</si>
  <si>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</si>
  <si>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</si>
  <si>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</si>
  <si>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</si>
  <si>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</si>
  <si>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</si>
  <si>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</si>
  <si>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</si>
  <si>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</si>
  <si>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</si>
  <si>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</si>
  <si>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</si>
  <si>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</si>
  <si>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</si>
  <si>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</si>
  <si>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</si>
  <si>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</si>
  <si>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</si>
  <si>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</si>
  <si>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</si>
  <si>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</si>
  <si>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</si>
  <si>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</si>
  <si>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</si>
  <si>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</si>
  <si>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</si>
  <si>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</si>
  <si>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</si>
  <si>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</si>
  <si>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</si>
  <si>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</si>
  <si>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</si>
  <si>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</si>
  <si>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</si>
  <si>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</si>
  <si>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</si>
  <si>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</si>
  <si>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</si>
  <si>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</si>
  <si>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</si>
  <si>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</si>
  <si>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</si>
  <si>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</si>
  <si>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</si>
  <si>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</si>
  <si>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</si>
  <si>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</si>
  <si>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</si>
  <si>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</si>
  <si>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</si>
  <si>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</si>
  <si>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</si>
  <si>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</si>
  <si>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</si>
  <si>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</si>
  <si>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</si>
  <si>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</si>
  <si>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</si>
  <si>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</si>
  <si>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</si>
  <si>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</si>
  <si>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</si>
  <si>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</si>
  <si>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</si>
  <si>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</si>
  <si>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</si>
  <si>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</si>
  <si>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</si>
  <si>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</si>
  <si>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</si>
  <si>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</si>
  <si>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</si>
  <si>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</si>
  <si>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</si>
  <si>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</si>
  <si>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</si>
  <si>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</si>
  <si>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</si>
  <si>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</si>
  <si>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</si>
  <si>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</si>
  <si>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</si>
  <si>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</si>
  <si>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</si>
  <si>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</si>
  <si>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</si>
  <si>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</si>
  <si>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</si>
  <si>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</si>
  <si>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</si>
  <si>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</si>
  <si>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</si>
  <si>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</si>
  <si>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</si>
  <si>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</si>
  <si>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</si>
  <si>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</si>
  <si>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</si>
  <si>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</si>
  <si>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</si>
  <si>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</si>
  <si>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</si>
  <si>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</si>
  <si>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</si>
  <si>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</si>
  <si>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</si>
  <si>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</si>
  <si>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</si>
  <si>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</si>
  <si>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</si>
  <si>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</si>
  <si>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</si>
  <si>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</si>
  <si>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</si>
  <si>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</si>
  <si>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</si>
  <si>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</si>
  <si>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</si>
  <si>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</si>
  <si>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</si>
  <si>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</si>
  <si>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</si>
  <si>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</si>
  <si>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</si>
  <si>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</si>
  <si>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</si>
  <si>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</si>
  <si>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</si>
  <si>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</si>
  <si>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</si>
  <si>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</si>
  <si>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</si>
  <si>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</si>
  <si>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</si>
  <si>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</si>
  <si>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</si>
  <si>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</si>
  <si>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</si>
  <si>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</si>
  <si>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</si>
  <si>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</si>
  <si>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</si>
  <si>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</si>
  <si>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</si>
  <si>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</si>
  <si>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</si>
  <si>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</si>
  <si>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</si>
  <si>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</si>
  <si>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</si>
  <si>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</si>
  <si>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</si>
  <si>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</si>
  <si>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</si>
  <si>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</si>
  <si>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</si>
  <si>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</si>
  <si>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</si>
  <si>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</si>
  <si>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</si>
  <si>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</si>
  <si>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</si>
  <si>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</si>
  <si>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</si>
  <si>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</si>
  <si>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</si>
  <si>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</si>
  <si>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</si>
  <si>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</si>
  <si>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</si>
  <si>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</si>
  <si>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</si>
  <si>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</si>
  <si>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</si>
  <si>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</si>
  <si>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</si>
  <si>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</si>
  <si>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</si>
  <si>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</si>
  <si>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</si>
  <si>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</si>
  <si>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</si>
  <si>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</si>
  <si>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</si>
  <si>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</si>
  <si>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</si>
  <si>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</si>
  <si>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</si>
  <si>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</si>
  <si>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</si>
  <si>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</si>
  <si>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</si>
  <si>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</si>
  <si>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</si>
  <si>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</si>
  <si>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</si>
  <si>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</si>
  <si>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</si>
  <si>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</si>
  <si>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</si>
  <si>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</si>
  <si>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</si>
  <si>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</si>
  <si>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</si>
  <si>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</si>
  <si>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</si>
  <si>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</si>
  <si>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</si>
  <si>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</si>
  <si>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</si>
  <si>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</si>
  <si>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</si>
  <si>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</si>
  <si>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</si>
  <si>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</si>
  <si>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</si>
  <si>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</si>
  <si>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</si>
  <si>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</si>
  <si>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</si>
  <si>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</si>
  <si>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</si>
  <si>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</si>
  <si>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</si>
  <si>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</si>
  <si>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</si>
  <si>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</si>
  <si>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</si>
  <si>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</si>
  <si>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</si>
  <si>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</si>
  <si>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</si>
  <si>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</si>
  <si>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</si>
  <si>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</si>
  <si>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</si>
  <si>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</si>
  <si>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</si>
  <si>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</si>
  <si>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</si>
  <si>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</si>
  <si>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</si>
  <si>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</si>
  <si>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</si>
  <si>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</si>
  <si>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</si>
  <si>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</si>
  <si>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</si>
  <si>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</si>
  <si>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</si>
  <si>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</si>
  <si>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</si>
  <si>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</si>
  <si>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</si>
  <si>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</si>
  <si>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</si>
  <si>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</si>
  <si>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</si>
  <si>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</si>
  <si>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</si>
  <si>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</si>
  <si>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</si>
  <si>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</si>
  <si>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</si>
  <si>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</si>
  <si>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</si>
  <si>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</si>
  <si>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</si>
  <si>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</si>
  <si>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</si>
  <si>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</si>
  <si>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</si>
  <si>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</si>
  <si>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</si>
  <si>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</si>
  <si>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</si>
  <si>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</si>
  <si>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</si>
  <si>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</si>
  <si>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</si>
  <si>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</si>
  <si>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</si>
  <si>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</si>
  <si>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</si>
  <si>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</si>
  <si>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</si>
  <si>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</si>
  <si>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</si>
  <si>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</si>
  <si>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</si>
  <si>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</si>
  <si>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</si>
  <si>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</si>
  <si>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</si>
  <si>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</si>
  <si>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</si>
  <si>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</si>
  <si>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</si>
  <si>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</si>
  <si>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</si>
  <si>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</si>
  <si>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</si>
  <si>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</si>
  <si>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</si>
  <si>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</si>
  <si>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</si>
  <si>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</si>
  <si>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</si>
  <si>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</si>
  <si>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</si>
  <si>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</si>
  <si>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</si>
  <si>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</si>
  <si>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</si>
  <si>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</si>
  <si>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</si>
  <si>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</si>
  <si>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</si>
  <si>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</si>
  <si>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</si>
  <si>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</si>
  <si>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</si>
  <si>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</si>
  <si>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</si>
  <si>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</si>
  <si>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</si>
  <si>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</si>
  <si>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</si>
  <si>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</si>
  <si>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</si>
  <si>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</si>
  <si>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</si>
  <si>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</si>
  <si>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</si>
  <si>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</si>
  <si>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</si>
  <si>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</si>
  <si>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</si>
  <si>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</si>
  <si>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</si>
  <si>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</si>
  <si>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</si>
  <si>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</si>
  <si>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</si>
  <si>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</si>
  <si>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</si>
  <si>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</si>
  <si>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</si>
  <si>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</si>
  <si>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</si>
  <si>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</si>
  <si>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</si>
  <si>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</si>
  <si>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</si>
  <si>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</si>
  <si>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</si>
  <si>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</si>
  <si>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</si>
  <si>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</si>
  <si>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</si>
  <si>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</si>
  <si>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</si>
  <si>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</si>
  <si>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</si>
  <si>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</si>
  <si>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</si>
  <si>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</si>
  <si>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</si>
  <si>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</si>
  <si>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</si>
  <si>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</si>
  <si>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</si>
  <si>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</si>
  <si>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</si>
  <si>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</si>
  <si>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</si>
  <si>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</si>
  <si>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</si>
  <si>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</si>
  <si>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</si>
  <si>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</si>
  <si>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</si>
  <si>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</si>
  <si>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</si>
  <si>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</si>
  <si>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</si>
  <si>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</si>
  <si>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</si>
  <si>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</si>
  <si>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</si>
  <si>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</si>
  <si>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</si>
  <si>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</si>
  <si>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</si>
  <si>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</si>
  <si>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</si>
  <si>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</si>
  <si>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</si>
  <si>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</si>
  <si>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</si>
  <si>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</si>
  <si>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</si>
  <si>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</si>
  <si>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</si>
  <si>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</si>
  <si>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</si>
  <si>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</si>
  <si>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</si>
  <si>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</si>
  <si>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</si>
  <si>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</si>
  <si>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</si>
  <si>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</si>
  <si>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</si>
  <si>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</si>
  <si>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</si>
  <si>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</si>
  <si>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</si>
  <si>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</si>
  <si>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</si>
  <si>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</si>
  <si>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</si>
  <si>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</si>
  <si>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</si>
  <si>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</si>
  <si>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</si>
  <si>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</si>
  <si>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</si>
  <si>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</si>
  <si>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</si>
  <si>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</si>
  <si>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</si>
  <si>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</si>
  <si>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</si>
  <si>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</si>
  <si>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</si>
  <si>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</si>
  <si>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</si>
  <si>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</si>
  <si>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</si>
  <si>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</si>
  <si>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</si>
  <si>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</si>
  <si>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</si>
  <si>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</si>
  <si>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</si>
  <si>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</si>
  <si>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</si>
  <si>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</si>
  <si>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</si>
  <si>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</si>
  <si>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</si>
  <si>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</si>
  <si>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</si>
  <si>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</si>
  <si>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</si>
  <si>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</si>
  <si>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</si>
  <si>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</si>
  <si>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</si>
  <si>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</si>
  <si>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</si>
  <si>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</si>
  <si>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</si>
  <si>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</si>
  <si>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</si>
  <si>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</si>
  <si>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</si>
  <si>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</si>
  <si>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</si>
  <si>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</si>
  <si>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</si>
  <si>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</si>
  <si>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</si>
  <si>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</si>
  <si>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</si>
  <si>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</si>
  <si>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</si>
  <si>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</si>
  <si>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</si>
  <si>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</si>
  <si>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</si>
  <si>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</si>
  <si>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</si>
  <si>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</si>
  <si>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</si>
  <si>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</si>
  <si>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</si>
  <si>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</si>
  <si>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</si>
  <si>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</si>
  <si>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</si>
  <si>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</si>
  <si>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</si>
  <si>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</si>
  <si>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</si>
  <si>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</si>
  <si>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</si>
  <si>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</si>
  <si>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</si>
  <si>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</si>
  <si>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</si>
  <si>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</si>
  <si>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</si>
  <si>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</si>
  <si>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</si>
  <si>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</si>
  <si>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</si>
  <si>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</si>
  <si>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</si>
  <si>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</si>
  <si>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</si>
  <si>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</si>
  <si>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</si>
  <si>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</si>
  <si>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</si>
  <si>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</si>
  <si>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</si>
  <si>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</si>
  <si>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</si>
  <si>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</si>
  <si>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</si>
  <si>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</si>
  <si>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</si>
  <si>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</si>
  <si>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</si>
  <si>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</si>
  <si>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</si>
  <si>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</si>
  <si>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</si>
  <si>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</si>
  <si>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</si>
  <si>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</si>
  <si>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</si>
  <si>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</si>
  <si>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</si>
  <si>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</si>
  <si>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</si>
  <si>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</si>
  <si>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</si>
  <si>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</si>
  <si>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</si>
  <si>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</si>
  <si>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</si>
  <si>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</si>
  <si>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</si>
  <si>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</si>
  <si>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</si>
  <si>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</si>
  <si>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</si>
  <si>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</si>
  <si>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</si>
  <si>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</si>
  <si>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</si>
  <si>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</si>
  <si>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</si>
  <si>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</si>
  <si>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</si>
  <si>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</si>
  <si>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</si>
  <si>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</si>
  <si>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</si>
  <si>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</si>
  <si>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</si>
  <si>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</si>
  <si>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</si>
  <si>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</si>
  <si>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</si>
  <si>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</si>
  <si>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</si>
  <si>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</si>
  <si>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</si>
  <si>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</si>
  <si>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</si>
  <si>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</si>
  <si>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</si>
  <si>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</si>
  <si>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</si>
  <si>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</si>
  <si>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</si>
  <si>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</si>
  <si>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</si>
  <si>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</si>
  <si>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</si>
  <si>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</si>
  <si>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</si>
  <si>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</si>
  <si>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</si>
  <si>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</si>
  <si>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</si>
  <si>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</si>
  <si>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</si>
  <si>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</si>
  <si>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</si>
  <si>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</si>
  <si>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</si>
  <si>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</si>
  <si>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</si>
  <si>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</si>
  <si>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</si>
  <si>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</si>
  <si>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</si>
  <si>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</si>
  <si>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</si>
  <si>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</si>
  <si>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</si>
  <si>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</si>
  <si>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</si>
  <si>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</si>
  <si>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</si>
  <si>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</si>
  <si>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</si>
  <si>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</si>
  <si>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</si>
  <si>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</si>
  <si>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</si>
  <si>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</si>
  <si>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</si>
  <si>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</si>
  <si>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</si>
  <si>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</si>
  <si>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</si>
  <si>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</si>
  <si>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</si>
  <si>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</si>
  <si>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</si>
  <si>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</si>
  <si>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</si>
  <si>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</si>
  <si>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</si>
  <si>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</si>
  <si>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</si>
  <si>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</si>
  <si>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</si>
  <si>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</si>
  <si>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</si>
  <si>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</si>
  <si>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</si>
  <si>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</si>
  <si>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</si>
  <si>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</si>
  <si>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</si>
  <si>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</si>
  <si>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</si>
  <si>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</si>
  <si>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</si>
  <si>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</si>
  <si>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</si>
  <si>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</si>
  <si>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</si>
  <si>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</si>
  <si>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</si>
  <si>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</si>
  <si>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</si>
  <si>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</si>
  <si>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</si>
  <si>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</si>
  <si>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</si>
  <si>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</si>
  <si>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</si>
  <si>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</si>
  <si>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</si>
  <si>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</si>
  <si>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</si>
  <si>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</si>
  <si>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</si>
  <si>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</si>
  <si>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</si>
  <si>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</si>
  <si>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</si>
  <si>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</si>
  <si>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</si>
  <si>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</si>
  <si>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</si>
  <si>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</si>
  <si>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</si>
  <si>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</si>
  <si>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</si>
  <si>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</si>
  <si>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</si>
  <si>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</si>
  <si>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</si>
  <si>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</si>
  <si>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</si>
  <si>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</si>
  <si>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</si>
  <si>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</si>
  <si>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</si>
  <si>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</si>
  <si>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</si>
  <si>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</si>
  <si>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</si>
  <si>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</si>
  <si>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</si>
  <si>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</si>
  <si>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</si>
  <si>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</si>
  <si>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</si>
  <si>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</si>
  <si>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</si>
  <si>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</si>
  <si>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</si>
  <si>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</si>
  <si>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</si>
  <si>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</si>
  <si>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</si>
  <si>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</si>
  <si>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</si>
  <si>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</si>
  <si>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</si>
  <si>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</si>
  <si>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</si>
  <si>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</si>
  <si>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</si>
  <si>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</si>
  <si>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</si>
  <si>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</si>
  <si>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</si>
  <si>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</si>
  <si>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</si>
  <si>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</si>
  <si>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</si>
  <si>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</si>
  <si>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</si>
  <si>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</si>
  <si>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</si>
  <si>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</si>
  <si>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</si>
  <si>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</si>
  <si>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</si>
  <si>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</si>
  <si>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</si>
  <si>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</si>
  <si>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</si>
  <si>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</si>
  <si>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</si>
  <si>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</si>
  <si>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</si>
  <si>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</si>
  <si>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</si>
  <si>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</si>
  <si>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</si>
  <si>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</si>
  <si>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</si>
  <si>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</si>
  <si>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</si>
  <si>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</si>
  <si>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</si>
  <si>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</si>
  <si>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</si>
  <si>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</si>
  <si>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</si>
  <si>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</si>
  <si>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</si>
  <si>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</si>
  <si>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</si>
  <si>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</si>
  <si>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</si>
  <si>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</si>
  <si>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</si>
  <si>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</si>
  <si>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</si>
  <si>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</si>
  <si>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</si>
  <si>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</si>
  <si>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</si>
  <si>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</si>
  <si>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</si>
  <si>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</si>
  <si>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</si>
  <si>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</si>
  <si>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</si>
  <si>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</si>
  <si>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</si>
  <si>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</si>
  <si>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</si>
  <si>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</si>
  <si>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</si>
  <si>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</si>
  <si>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</si>
  <si>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</si>
  <si>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</si>
  <si>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</si>
  <si>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</si>
  <si>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</si>
  <si>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</si>
  <si>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</si>
  <si>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</si>
  <si>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</si>
  <si>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</si>
  <si>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</si>
  <si>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</si>
  <si>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</si>
  <si>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</si>
  <si>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</si>
  <si>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</si>
  <si>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</si>
  <si>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</si>
  <si>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</si>
  <si>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</si>
  <si>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</si>
  <si>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</si>
  <si>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</si>
  <si>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</si>
  <si>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</si>
  <si>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</si>
  <si>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</si>
  <si>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</si>
  <si>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</si>
  <si>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</si>
  <si>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</si>
  <si>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</si>
  <si>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</si>
  <si>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</si>
  <si>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</si>
  <si>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</si>
  <si>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</si>
  <si>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</si>
  <si>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</si>
  <si>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</si>
  <si>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</si>
  <si>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</si>
  <si>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</si>
  <si>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</si>
  <si>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</si>
  <si>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</si>
  <si>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</si>
  <si>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</si>
  <si>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</si>
  <si>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</si>
  <si>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</si>
  <si>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</si>
  <si>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</si>
  <si>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</si>
  <si>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</si>
  <si>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</si>
  <si>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</si>
  <si>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</si>
  <si>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</si>
  <si>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</si>
  <si>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</si>
  <si>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</si>
  <si>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</si>
  <si>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</si>
  <si>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</si>
  <si>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</si>
  <si>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</si>
  <si>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</si>
  <si>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</si>
  <si>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</si>
  <si>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</si>
  <si>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</si>
  <si>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</si>
  <si>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</si>
  <si>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</si>
  <si>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</si>
  <si>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</si>
  <si>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</si>
  <si>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</si>
  <si>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</si>
  <si>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</si>
  <si>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</si>
  <si>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</si>
  <si>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</si>
  <si>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</si>
  <si>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</si>
  <si>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</si>
  <si>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</si>
  <si>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</si>
  <si>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</si>
  <si>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</si>
  <si>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</si>
  <si>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</si>
  <si>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</si>
  <si>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</si>
  <si>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</si>
  <si>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</si>
  <si>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</si>
  <si>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</si>
  <si>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</si>
  <si>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</si>
  <si>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</si>
  <si>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</si>
  <si>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</si>
  <si>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</si>
  <si>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</si>
  <si>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</si>
  <si>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</si>
  <si>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</si>
  <si>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</si>
  <si>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</si>
  <si>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</si>
  <si>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</si>
  <si>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</si>
  <si>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</si>
  <si>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</si>
  <si>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</si>
  <si>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</si>
  <si>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</si>
  <si>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</si>
  <si>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</si>
  <si>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</si>
  <si>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</si>
  <si>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</si>
  <si>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</si>
  <si>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</si>
  <si>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</si>
  <si>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</si>
  <si>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</si>
  <si>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</si>
  <si>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</si>
  <si>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</si>
  <si>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</si>
  <si>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</si>
  <si>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</si>
  <si>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</si>
  <si>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</si>
  <si>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</si>
  <si>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</si>
  <si>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</si>
  <si>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</si>
  <si>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</si>
  <si>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</si>
  <si>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</si>
  <si>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</si>
  <si>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</si>
  <si>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</si>
  <si>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</si>
  <si>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</si>
  <si>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</si>
  <si>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</si>
  <si>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</si>
  <si>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</si>
  <si>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</si>
  <si>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</si>
  <si>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</si>
  <si>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</si>
  <si>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</si>
  <si>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</si>
  <si>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</si>
  <si>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</si>
  <si>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</si>
  <si>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</si>
  <si>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</si>
  <si>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</si>
  <si>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</si>
  <si>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</si>
  <si>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</si>
  <si>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</si>
  <si>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</si>
  <si>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</si>
  <si>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</si>
  <si>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</si>
  <si>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</si>
  <si>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</si>
  <si>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</si>
  <si>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</si>
  <si>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</si>
  <si>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</si>
  <si>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</si>
  <si>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</si>
  <si>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</si>
  <si>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</si>
  <si>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</si>
  <si>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</si>
  <si>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</si>
  <si>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</si>
  <si>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</si>
  <si>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</si>
  <si>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</si>
  <si>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</si>
  <si>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</si>
  <si>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</si>
  <si>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</si>
  <si>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</si>
  <si>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</si>
  <si>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</si>
  <si>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</si>
  <si>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</si>
  <si>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</si>
  <si>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</si>
  <si>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</si>
  <si>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</si>
  <si>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</si>
  <si>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</si>
  <si>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</si>
  <si>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</si>
  <si>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</si>
  <si>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</si>
  <si>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</si>
  <si>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</si>
  <si>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</si>
  <si>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</si>
  <si>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</si>
  <si>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</si>
  <si>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</si>
  <si>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</si>
  <si>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</si>
  <si>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</si>
  <si>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</si>
  <si>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</si>
  <si>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</si>
  <si>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</si>
  <si>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</si>
  <si>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</si>
  <si>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</si>
  <si>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</si>
  <si>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</si>
  <si>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</si>
  <si>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</si>
  <si>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</si>
  <si>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</si>
  <si>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</si>
  <si>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</si>
  <si>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</si>
  <si>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</si>
  <si>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</si>
  <si>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</si>
  <si>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</si>
  <si>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</si>
  <si>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</si>
  <si>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</si>
  <si>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</si>
  <si>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</si>
  <si>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</si>
  <si>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</si>
  <si>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</si>
  <si>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</si>
  <si>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</si>
  <si>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</si>
  <si>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</si>
  <si>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</si>
  <si>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</si>
  <si>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</si>
  <si>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</si>
  <si>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</si>
  <si>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</si>
  <si>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</si>
  <si>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</si>
  <si>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</si>
  <si>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</si>
  <si>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</si>
  <si>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</si>
  <si>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</si>
  <si>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</si>
  <si>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</si>
  <si>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</si>
  <si>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</si>
  <si>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</si>
  <si>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</si>
  <si>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</si>
  <si>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</si>
  <si>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</si>
  <si>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</si>
  <si>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</si>
  <si>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</si>
  <si>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</si>
  <si>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</si>
  <si>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</si>
  <si>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</si>
  <si>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</si>
  <si>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</si>
  <si>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</si>
  <si>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</si>
  <si>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</si>
  <si>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</si>
  <si>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</si>
  <si>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</si>
  <si>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</si>
  <si>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</si>
  <si>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</si>
  <si>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</si>
  <si>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</si>
  <si>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</si>
  <si>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</si>
  <si>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</si>
  <si>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</si>
  <si>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</si>
  <si>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</si>
  <si>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</si>
  <si>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</si>
  <si>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</si>
  <si>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</si>
  <si>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</si>
  <si>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</si>
  <si>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</si>
  <si>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</si>
  <si>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</si>
  <si>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</si>
  <si>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</si>
  <si>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</si>
  <si>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</si>
  <si>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</si>
  <si>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</si>
  <si>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</si>
  <si>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</si>
  <si>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</si>
  <si>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</si>
  <si>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</si>
  <si>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</si>
  <si>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</si>
  <si>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</si>
  <si>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</si>
  <si>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</si>
  <si>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</si>
  <si>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</si>
  <si>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</si>
  <si>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</si>
  <si>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</si>
  <si>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</si>
  <si>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</si>
  <si>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</si>
  <si>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</si>
  <si>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</si>
  <si>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</si>
  <si>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</si>
  <si>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</si>
  <si>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</si>
  <si>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</si>
  <si>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</si>
  <si>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</si>
  <si>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</si>
  <si>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</si>
  <si>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</si>
  <si>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</si>
  <si>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</si>
  <si>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</si>
  <si>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</si>
  <si>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</si>
  <si>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</si>
  <si>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</si>
  <si>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</si>
  <si>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</si>
  <si>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</si>
  <si>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</si>
  <si>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</si>
  <si>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</si>
  <si>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</si>
  <si>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</si>
  <si>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</si>
  <si>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</si>
  <si>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</si>
  <si>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</si>
  <si>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</si>
  <si>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</si>
  <si>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</si>
  <si>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</si>
  <si>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</si>
  <si>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</si>
  <si>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</si>
  <si>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</si>
  <si>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</si>
  <si>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</si>
  <si>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</si>
  <si>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</si>
  <si>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</si>
  <si>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</si>
  <si>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</si>
  <si>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</si>
  <si>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</si>
  <si>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</si>
  <si>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</si>
  <si>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</si>
  <si>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</si>
  <si>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</si>
  <si>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</si>
  <si>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</si>
  <si>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</si>
  <si>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</si>
  <si>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</si>
  <si>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</si>
  <si>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</si>
  <si>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</si>
  <si>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</si>
  <si>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</si>
  <si>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</si>
  <si>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</si>
  <si>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</si>
  <si>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</si>
  <si>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</si>
  <si>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</si>
  <si>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</si>
  <si>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</si>
  <si>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</si>
  <si>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</si>
  <si>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</si>
  <si>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</si>
  <si>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</si>
  <si>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</si>
  <si>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</si>
  <si>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</si>
  <si>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</si>
  <si>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</si>
  <si>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</si>
  <si>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</si>
  <si>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</si>
  <si>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</si>
  <si>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</si>
  <si>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</si>
  <si>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</si>
  <si>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</si>
  <si>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</si>
  <si>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</si>
  <si>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</si>
  <si>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</si>
  <si>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</si>
  <si>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</si>
  <si>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</si>
  <si>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</si>
  <si>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</si>
  <si>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</si>
  <si>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</si>
  <si>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</si>
  <si>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</si>
  <si>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</si>
  <si>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</si>
  <si>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</si>
  <si>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</si>
  <si>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</si>
  <si>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</si>
  <si>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</si>
  <si>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</si>
  <si>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</si>
  <si>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</si>
  <si>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</si>
  <si>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</si>
  <si>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</si>
  <si>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</si>
  <si>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</si>
  <si>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</si>
  <si>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</si>
  <si>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</si>
  <si>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</si>
  <si>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</si>
  <si>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</si>
  <si>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</si>
  <si>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</si>
  <si>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</si>
  <si>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</si>
  <si>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</si>
  <si>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</si>
  <si>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</si>
  <si>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</si>
  <si>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</si>
  <si>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</si>
  <si>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</si>
  <si>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</si>
  <si>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</si>
  <si>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</si>
  <si>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</si>
  <si>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</si>
  <si>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</si>
  <si>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</si>
  <si>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</si>
  <si>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</si>
  <si>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</si>
  <si>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</si>
  <si>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</si>
  <si>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</si>
  <si>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</si>
  <si>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</si>
  <si>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</si>
  <si>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</si>
  <si>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</si>
  <si>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</si>
  <si>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</si>
  <si>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</si>
  <si>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</si>
  <si>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</si>
  <si>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</si>
  <si>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</si>
  <si>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</si>
  <si>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</si>
  <si>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</si>
  <si>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</si>
  <si>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</si>
  <si>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</si>
  <si>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</si>
  <si>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</si>
  <si>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</si>
  <si>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</si>
  <si>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</si>
  <si>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</si>
  <si>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</si>
  <si>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</si>
  <si>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</si>
  <si>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</si>
  <si>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</si>
  <si>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</si>
  <si>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</si>
  <si>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</si>
  <si>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</si>
  <si>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</si>
  <si>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</si>
  <si>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</si>
  <si>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</si>
  <si>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</si>
  <si>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</si>
  <si>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</si>
  <si>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</si>
  <si>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</si>
  <si>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</si>
  <si>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</si>
  <si>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</si>
  <si>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</si>
  <si>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</si>
  <si>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</si>
  <si>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</si>
  <si>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</si>
  <si>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</si>
  <si>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</si>
  <si>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</si>
  <si>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</si>
  <si>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</si>
  <si>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</si>
  <si>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</si>
  <si>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</si>
  <si>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</si>
  <si>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</si>
  <si>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</si>
  <si>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</si>
  <si>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</si>
  <si>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</si>
  <si>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</si>
  <si>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</si>
  <si>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</si>
  <si>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</si>
  <si>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</si>
  <si>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</si>
  <si>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</si>
  <si>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</si>
  <si>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</si>
  <si>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</si>
  <si>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</si>
  <si>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</si>
  <si>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</si>
  <si>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</si>
  <si>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</si>
  <si>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</si>
  <si>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</si>
  <si>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</si>
  <si>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</si>
  <si>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</si>
  <si>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</si>
  <si>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</si>
  <si>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</si>
  <si>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</si>
  <si>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</si>
  <si>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</si>
  <si>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</si>
  <si>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</si>
  <si>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</si>
  <si>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</si>
  <si>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</si>
  <si>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</si>
  <si>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</si>
  <si>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</si>
  <si>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</si>
  <si>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</si>
  <si>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</si>
  <si>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</si>
  <si>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</si>
  <si>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</si>
  <si>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</si>
  <si>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</si>
  <si>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</si>
  <si>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</si>
  <si>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</si>
  <si>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</si>
  <si>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</si>
  <si>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</si>
  <si>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</si>
  <si>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</si>
  <si>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</si>
  <si>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</si>
  <si>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</si>
  <si>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</si>
  <si>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</si>
  <si>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</si>
  <si>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</si>
  <si>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</si>
  <si>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</si>
  <si>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</si>
  <si>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</si>
  <si>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</si>
  <si>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</si>
  <si>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</si>
  <si>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</si>
  <si>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</si>
  <si>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</si>
  <si>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</si>
  <si>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</si>
  <si>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</si>
  <si>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</si>
  <si>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</si>
  <si>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</si>
  <si>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</si>
  <si>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</si>
  <si>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</si>
  <si>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</si>
  <si>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</si>
  <si>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</si>
  <si>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</si>
  <si>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</si>
  <si>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</si>
  <si>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</si>
  <si>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</si>
  <si>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</si>
  <si>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</si>
  <si>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</si>
  <si>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</si>
  <si>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</si>
  <si>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</si>
  <si>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</si>
  <si>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</si>
  <si>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</si>
  <si>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</si>
  <si>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</si>
  <si>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</si>
  <si>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</si>
  <si>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</si>
  <si>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</si>
  <si>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</si>
  <si>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</si>
  <si>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</si>
  <si>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</si>
  <si>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</si>
  <si>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</si>
  <si>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</si>
  <si>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</si>
  <si>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</si>
  <si>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</si>
  <si>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</si>
  <si>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</si>
  <si>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</si>
  <si>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</si>
  <si>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</si>
  <si>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</si>
  <si>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</si>
  <si>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</si>
  <si>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</si>
  <si>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</si>
  <si>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</si>
  <si>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</si>
  <si>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</si>
  <si>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</si>
  <si>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</si>
  <si>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</si>
  <si>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</si>
  <si>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</si>
  <si>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</si>
  <si>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</si>
  <si>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</si>
  <si>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</si>
  <si>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</si>
  <si>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</si>
  <si>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</si>
  <si>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</si>
  <si>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</si>
  <si>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</si>
  <si>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</si>
  <si>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</si>
  <si>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</si>
  <si>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</si>
  <si>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</si>
  <si>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</si>
  <si>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</si>
  <si>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</si>
  <si>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</si>
  <si>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</si>
  <si>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</si>
  <si>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</si>
  <si>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</si>
  <si>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</si>
  <si>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</si>
  <si>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</si>
  <si>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</si>
  <si>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</si>
  <si>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</si>
  <si>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</si>
  <si>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</si>
  <si>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</si>
  <si>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</si>
  <si>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</si>
  <si>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</si>
  <si>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</si>
  <si>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</si>
  <si>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</si>
  <si>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</si>
  <si>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</si>
  <si>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</si>
  <si>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</si>
  <si>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</si>
  <si>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</si>
  <si>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</si>
  <si>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</si>
  <si>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</si>
  <si>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</si>
  <si>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</si>
  <si>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</si>
  <si>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</si>
  <si>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</si>
  <si>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</si>
  <si>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</si>
  <si>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</si>
  <si>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</si>
  <si>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</si>
  <si>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</si>
  <si>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</si>
  <si>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</si>
  <si>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</si>
  <si>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</si>
  <si>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</si>
  <si>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</si>
  <si>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</si>
  <si>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</si>
  <si>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</si>
  <si>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</si>
  <si>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</si>
  <si>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</si>
  <si>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</si>
  <si>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</si>
  <si>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</si>
  <si>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</si>
  <si>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</si>
  <si>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</si>
  <si>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</si>
  <si>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</si>
  <si>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</si>
  <si>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</si>
  <si>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</si>
  <si>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</si>
  <si>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</si>
  <si>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</si>
  <si>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</si>
  <si>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</si>
  <si>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</si>
  <si>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</si>
  <si>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</si>
  <si>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</si>
  <si>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</si>
  <si>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</si>
  <si>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</si>
  <si>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</si>
  <si>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</si>
  <si>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</si>
  <si>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</si>
  <si>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</si>
  <si>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</si>
  <si>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</si>
  <si>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</si>
  <si>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</si>
  <si>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</si>
  <si>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</si>
  <si>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</si>
  <si>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</si>
  <si>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</si>
  <si>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</si>
  <si>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</si>
  <si>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</si>
  <si>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</si>
  <si>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</si>
  <si>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</si>
  <si>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</si>
  <si>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</si>
  <si>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</si>
  <si>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</si>
  <si>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</si>
  <si>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</si>
  <si>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</si>
  <si>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</si>
  <si>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</si>
  <si>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</si>
  <si>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</si>
  <si>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</si>
  <si>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</si>
  <si>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</si>
  <si>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</si>
  <si>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</si>
  <si>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</si>
  <si>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</si>
  <si>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</si>
  <si>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</si>
  <si>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</si>
  <si>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</si>
  <si>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</si>
  <si>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</si>
  <si>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</si>
  <si>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</si>
  <si>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</si>
  <si>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</si>
  <si>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</si>
  <si>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</si>
  <si>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</si>
  <si>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</si>
  <si>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</si>
  <si>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</si>
  <si>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</si>
  <si>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</si>
  <si>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</si>
  <si>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</si>
  <si>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</si>
  <si>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</si>
  <si>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</si>
  <si>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</si>
  <si>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</si>
  <si>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</si>
  <si>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</si>
  <si>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</si>
  <si>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</si>
  <si>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</si>
  <si>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</si>
  <si>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</si>
  <si>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</si>
  <si>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</si>
  <si>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</si>
  <si>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</si>
  <si>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</si>
  <si>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</si>
  <si>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</si>
  <si>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</si>
  <si>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</si>
  <si>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</si>
  <si>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</si>
  <si>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</si>
  <si>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</si>
  <si>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</si>
  <si>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</si>
  <si>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</si>
  <si>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</si>
  <si>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</si>
  <si>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</si>
  <si>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</si>
  <si>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</si>
  <si>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</si>
  <si>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</si>
  <si>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</si>
  <si>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</si>
  <si>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</si>
  <si>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</si>
  <si>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</si>
  <si>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</si>
  <si>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</si>
  <si>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</si>
  <si>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</si>
  <si>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</si>
  <si>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</si>
  <si>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</si>
  <si>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</si>
  <si>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</si>
  <si>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</si>
  <si>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</si>
  <si>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</si>
  <si>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</si>
  <si>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</si>
  <si>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</si>
  <si>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</si>
  <si>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</si>
  <si>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</si>
  <si>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</si>
  <si>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</si>
  <si>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</si>
  <si>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</si>
  <si>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</si>
  <si>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</si>
  <si>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</si>
  <si>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</si>
  <si>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</si>
  <si>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</si>
  <si>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</si>
  <si>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</si>
  <si>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</si>
  <si>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</si>
  <si>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</si>
  <si>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</si>
  <si>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</si>
  <si>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</si>
  <si>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</si>
  <si>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</si>
  <si>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</si>
  <si>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</si>
  <si>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</si>
  <si>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</si>
  <si>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</si>
  <si>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</si>
  <si>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</si>
  <si>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</si>
  <si>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</si>
  <si>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</si>
  <si>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</si>
  <si>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</si>
  <si>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</si>
  <si>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</si>
  <si>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</si>
  <si>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</si>
  <si>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</si>
  <si>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</si>
  <si>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</si>
  <si>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</si>
  <si>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</si>
  <si>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</si>
  <si>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</si>
  <si>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</si>
  <si>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</si>
  <si>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</si>
  <si>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</si>
  <si>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</si>
  <si>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</si>
  <si>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</si>
  <si>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</si>
  <si>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</si>
  <si>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</si>
  <si>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</si>
  <si>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</si>
  <si>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</si>
  <si>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</si>
  <si>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</si>
  <si>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</si>
  <si>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</si>
  <si>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</si>
  <si>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</si>
  <si>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</si>
  <si>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</si>
  <si>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</si>
  <si>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</si>
  <si>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</si>
  <si>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</si>
  <si>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</si>
  <si>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</si>
  <si>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</si>
  <si>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</si>
  <si>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</si>
  <si>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</si>
  <si>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</si>
  <si>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</si>
  <si>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</si>
  <si>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</si>
  <si>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</si>
  <si>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</si>
  <si>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</si>
  <si>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</si>
  <si>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</si>
  <si>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</si>
  <si>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</si>
  <si>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</si>
  <si>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</si>
  <si>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</si>
  <si>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</si>
  <si>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</si>
  <si>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</si>
  <si>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</si>
  <si>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</si>
  <si>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</si>
  <si>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</si>
  <si>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</si>
  <si>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</si>
  <si>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</si>
  <si>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</si>
  <si>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</si>
  <si>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</si>
  <si>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</si>
  <si>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</si>
  <si>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</si>
  <si>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</si>
  <si>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</si>
  <si>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</si>
  <si>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</si>
  <si>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</si>
  <si>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</si>
  <si>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</si>
  <si>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</si>
  <si>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</si>
  <si>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</si>
  <si>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</si>
  <si>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</si>
  <si>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</si>
  <si>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</si>
  <si>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</si>
  <si>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</si>
  <si>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</si>
  <si>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</si>
  <si>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</si>
  <si>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</si>
  <si>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</si>
  <si>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</si>
  <si>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</si>
  <si>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</si>
  <si>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</si>
  <si>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</si>
  <si>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</si>
  <si>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</si>
  <si>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</si>
  <si>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</si>
  <si>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</si>
  <si>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</si>
  <si>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</si>
  <si>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</si>
  <si>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</si>
  <si>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</si>
  <si>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</si>
  <si>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</si>
  <si>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</si>
  <si>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</si>
  <si>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</si>
  <si>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</si>
  <si>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</si>
  <si>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</si>
  <si>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</si>
  <si>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</si>
  <si>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</si>
  <si>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</si>
  <si>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</si>
  <si>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</si>
  <si>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</si>
  <si>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</si>
  <si>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</si>
  <si>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</si>
  <si>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</si>
  <si>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</si>
  <si>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</si>
  <si>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</si>
  <si>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</si>
  <si>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</si>
  <si>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</si>
  <si>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</si>
  <si>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</si>
  <si>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</si>
  <si>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</si>
  <si>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</si>
  <si>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</si>
  <si>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</si>
  <si>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</si>
  <si>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</si>
  <si>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</si>
  <si>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</si>
  <si>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</si>
  <si>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</si>
  <si>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</si>
  <si>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</si>
  <si>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</si>
  <si>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</si>
  <si>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</si>
  <si>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</si>
  <si>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</si>
  <si>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</si>
  <si>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</si>
  <si>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</si>
  <si>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</si>
  <si>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</si>
  <si>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</si>
  <si>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</si>
  <si>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</si>
  <si>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</si>
  <si>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</si>
  <si>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</si>
  <si>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</si>
  <si>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</si>
  <si>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</si>
  <si>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</si>
  <si>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</si>
  <si>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</si>
  <si>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</si>
  <si>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</si>
  <si>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</si>
  <si>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</si>
  <si>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</si>
  <si>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</si>
  <si>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</si>
  <si>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</si>
  <si>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</si>
  <si>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</si>
  <si>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</si>
  <si>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</si>
  <si>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</si>
  <si>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</si>
  <si>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</si>
  <si>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</si>
  <si>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</si>
  <si>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</si>
  <si>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</si>
  <si>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</si>
  <si>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</si>
  <si>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</si>
  <si>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</si>
  <si>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</si>
  <si>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</si>
  <si>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</si>
  <si>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</si>
  <si>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</si>
  <si>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</si>
  <si>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</si>
  <si>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</si>
  <si>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</si>
  <si>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</si>
  <si>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</si>
  <si>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</si>
  <si>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</si>
  <si>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</si>
  <si>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</si>
  <si>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</si>
  <si>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</si>
  <si>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</si>
  <si>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</si>
  <si>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</si>
  <si>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</si>
  <si>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</si>
  <si>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</si>
  <si>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</si>
  <si>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</si>
  <si>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</si>
  <si>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</si>
  <si>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</si>
  <si>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</si>
  <si>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</si>
  <si>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</si>
  <si>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</si>
  <si>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</si>
  <si>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</si>
  <si>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</si>
  <si>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</si>
  <si>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</si>
  <si>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</si>
  <si>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</si>
  <si>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</si>
  <si>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</si>
  <si>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</si>
  <si>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</si>
  <si>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</si>
  <si>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</si>
  <si>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</si>
  <si>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</si>
  <si>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</si>
  <si>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</si>
  <si>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</si>
  <si>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</si>
  <si>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</si>
  <si>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</si>
  <si>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</si>
  <si>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</si>
  <si>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</si>
  <si>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</si>
  <si>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</si>
  <si>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</si>
  <si>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</si>
  <si>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</si>
  <si>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</si>
  <si>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</si>
  <si>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</si>
  <si>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</si>
  <si>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</si>
  <si>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</si>
  <si>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</si>
  <si>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</si>
  <si>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</si>
  <si>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</si>
  <si>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</si>
  <si>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</si>
  <si>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</si>
  <si>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</si>
  <si>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</si>
  <si>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</si>
  <si>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</si>
  <si>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</si>
  <si>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</si>
  <si>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</si>
  <si>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</si>
  <si>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</si>
  <si>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</si>
  <si>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</si>
  <si>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</si>
  <si>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</si>
  <si>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</si>
  <si>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</si>
  <si>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</si>
  <si>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</si>
  <si>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</si>
  <si>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</si>
  <si>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</si>
  <si>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</si>
  <si>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</si>
  <si>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</si>
  <si>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</si>
  <si>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</si>
  <si>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</si>
  <si>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</si>
  <si>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</si>
  <si>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</si>
  <si>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</si>
  <si>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</si>
  <si>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</si>
  <si>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</si>
  <si>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</si>
  <si>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</si>
  <si>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</si>
  <si>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</si>
  <si>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</si>
  <si>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</si>
  <si>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</si>
  <si>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</si>
  <si>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</si>
  <si>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</si>
  <si>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</si>
  <si>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</si>
  <si>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</si>
  <si>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</si>
  <si>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</si>
  <si>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</si>
  <si>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</si>
  <si>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</si>
  <si>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</si>
  <si>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</si>
  <si>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</si>
  <si>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</si>
  <si>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</si>
  <si>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</si>
  <si>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</si>
  <si>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</si>
  <si>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</si>
  <si>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</si>
  <si>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</si>
  <si>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</si>
  <si>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</si>
  <si>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</si>
  <si>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</si>
  <si>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</si>
  <si>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</si>
  <si>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</si>
  <si>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</si>
  <si>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</si>
  <si>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</si>
  <si>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</si>
  <si>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</si>
  <si>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</si>
  <si>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</si>
  <si>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</si>
  <si>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</si>
  <si>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</si>
  <si>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</si>
  <si>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</si>
  <si>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</si>
  <si>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</si>
  <si>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</si>
  <si>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</si>
  <si>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</si>
  <si>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</si>
  <si>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</si>
  <si>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</si>
  <si>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</si>
  <si>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</si>
  <si>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</si>
  <si>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</si>
  <si>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</si>
  <si>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</si>
  <si>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</si>
  <si>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</si>
  <si>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</si>
  <si>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</si>
  <si>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</si>
  <si>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</si>
  <si>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</si>
  <si>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</si>
  <si>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</si>
  <si>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</si>
  <si>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</si>
  <si>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</si>
  <si>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</si>
  <si>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</si>
  <si>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</si>
  <si>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</si>
  <si>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</si>
  <si>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</si>
  <si>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</si>
  <si>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</si>
  <si>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</si>
  <si>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</si>
  <si>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</si>
  <si>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</si>
  <si>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</si>
  <si>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</si>
  <si>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</si>
  <si>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</si>
  <si>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</si>
  <si>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</si>
  <si>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</si>
  <si>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</si>
  <si>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</si>
  <si>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</si>
  <si>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</si>
  <si>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</si>
  <si>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</si>
  <si>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</si>
  <si>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</si>
  <si>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</si>
  <si>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</si>
  <si>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</si>
  <si>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</si>
  <si>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</si>
  <si>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</si>
  <si>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</si>
  <si>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</si>
  <si>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</si>
  <si>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</si>
  <si>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</si>
  <si>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</si>
  <si>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</si>
  <si>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</si>
  <si>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</si>
  <si>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</si>
  <si>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</si>
  <si>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</si>
  <si>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</si>
  <si>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</si>
  <si>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</si>
  <si>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</si>
  <si>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</si>
  <si>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</si>
  <si>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</si>
  <si>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</si>
  <si>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</si>
  <si>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</si>
  <si>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</si>
  <si>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</si>
  <si>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</si>
  <si>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</si>
  <si>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</si>
  <si>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</si>
  <si>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</si>
  <si>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</si>
  <si>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</si>
  <si>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</si>
  <si>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</si>
  <si>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</si>
  <si>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</si>
  <si>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</si>
  <si>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</si>
  <si>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</si>
  <si>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</si>
  <si>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</si>
  <si>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</si>
  <si>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</si>
  <si>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</si>
  <si>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</si>
  <si>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</si>
  <si>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</si>
  <si>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</si>
  <si>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</si>
  <si>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</si>
  <si>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</si>
  <si>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</si>
  <si>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</si>
  <si>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</si>
  <si>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</si>
  <si>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</si>
  <si>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</si>
  <si>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</si>
  <si>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</si>
  <si>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</si>
  <si>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</si>
  <si>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</si>
  <si>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</si>
  <si>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</si>
  <si>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</si>
  <si>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</si>
  <si>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</si>
  <si>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</si>
  <si>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</si>
  <si>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</si>
  <si>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</si>
  <si>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</si>
  <si>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</si>
  <si>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</si>
  <si>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</si>
  <si>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</si>
  <si>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</si>
  <si>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</si>
  <si>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</si>
  <si>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</si>
  <si>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</si>
  <si>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</si>
  <si>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</si>
  <si>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</si>
  <si>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</si>
  <si>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</si>
  <si>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</si>
  <si>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</si>
  <si>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</si>
  <si>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</si>
  <si>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</si>
  <si>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</si>
  <si>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</si>
  <si>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</si>
  <si>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</si>
  <si>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</si>
  <si>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</si>
  <si>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</si>
  <si>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</si>
  <si>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</si>
  <si>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</si>
  <si>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</si>
  <si>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</si>
  <si>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</si>
  <si>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</si>
  <si>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</si>
  <si>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</si>
  <si>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</si>
  <si>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</si>
  <si>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</si>
  <si>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</si>
  <si>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</si>
  <si>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</si>
  <si>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</si>
  <si>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</si>
  <si>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</si>
  <si>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</si>
  <si>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</si>
  <si>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</si>
  <si>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</si>
  <si>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</si>
  <si>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</si>
  <si>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</si>
  <si>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</si>
  <si>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</si>
  <si>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</si>
  <si>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</si>
  <si>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</si>
  <si>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</si>
  <si>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</si>
  <si>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</si>
  <si>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</si>
  <si>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</si>
  <si>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</si>
  <si>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</si>
  <si>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</si>
  <si>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</si>
  <si>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</si>
  <si>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</si>
  <si>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</si>
  <si>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</si>
  <si>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</si>
  <si>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</si>
  <si>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</si>
  <si>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</si>
  <si>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</si>
  <si>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</si>
  <si>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</si>
  <si>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</si>
  <si>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</si>
  <si>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</si>
  <si>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</si>
  <si>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</si>
  <si>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</si>
  <si>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</si>
  <si>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</si>
  <si>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</si>
  <si>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</si>
  <si>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</si>
  <si>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</si>
  <si>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</si>
  <si>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</si>
  <si>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</si>
  <si>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</si>
  <si>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</si>
  <si>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</si>
  <si>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</si>
  <si>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</si>
  <si>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</si>
  <si>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</si>
  <si>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</si>
  <si>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</si>
  <si>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</si>
  <si>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</si>
  <si>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</si>
  <si>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</si>
  <si>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</si>
  <si>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</si>
  <si>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</si>
  <si>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</si>
  <si>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</si>
  <si>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</si>
  <si>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</si>
  <si>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</si>
  <si>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</si>
  <si>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</si>
  <si>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</si>
  <si>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</si>
  <si>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</si>
  <si>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</si>
  <si>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</si>
  <si>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</si>
  <si>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</si>
  <si>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</si>
  <si>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</si>
  <si>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</si>
  <si>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</si>
  <si>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</si>
  <si>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</si>
  <si>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</si>
  <si>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</si>
  <si>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</si>
  <si>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</si>
  <si>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</si>
  <si>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</si>
  <si>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</si>
  <si>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</si>
  <si>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</si>
  <si>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</si>
  <si>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</si>
  <si>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</si>
  <si>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</si>
  <si>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</si>
  <si>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</si>
  <si>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</si>
  <si>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</si>
  <si>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</si>
  <si>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</si>
  <si>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</si>
  <si>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</si>
  <si>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</si>
  <si>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</si>
  <si>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</si>
  <si>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</si>
  <si>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</si>
  <si>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</si>
  <si>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</si>
  <si>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</si>
  <si>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</si>
  <si>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</si>
  <si>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</si>
  <si>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</si>
  <si>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</si>
  <si>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</si>
  <si>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</si>
  <si>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</si>
  <si>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</si>
  <si>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</si>
  <si>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</si>
  <si>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</si>
  <si>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</si>
  <si>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</si>
  <si>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</si>
  <si>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</si>
  <si>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</si>
  <si>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</si>
  <si>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</si>
  <si>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</si>
  <si>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</si>
  <si>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</si>
  <si>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</si>
  <si>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</si>
  <si>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</si>
  <si>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</si>
  <si>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</si>
  <si>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</si>
  <si>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</si>
  <si>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</si>
  <si>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</si>
  <si>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</si>
  <si>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</si>
  <si>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</si>
  <si>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</si>
  <si>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</si>
  <si>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</si>
  <si>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</si>
  <si>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</si>
  <si>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</si>
  <si>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</si>
  <si>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</si>
  <si>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</si>
  <si>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</si>
  <si>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</si>
  <si>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</si>
  <si>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</si>
  <si>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</si>
  <si>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</si>
  <si>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</si>
  <si>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</si>
  <si>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</si>
  <si>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</si>
  <si>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</si>
  <si>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</si>
  <si>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</si>
  <si>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</si>
  <si>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</si>
  <si>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</si>
  <si>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</si>
  <si>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</si>
  <si>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</si>
  <si>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</si>
  <si>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</si>
  <si>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</si>
  <si>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</si>
  <si>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</si>
  <si>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</si>
  <si>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</si>
  <si>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</si>
  <si>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</si>
  <si>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</si>
  <si>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</si>
  <si>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</si>
  <si>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</si>
  <si>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</si>
  <si>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</si>
  <si>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</si>
  <si>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</si>
  <si>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</si>
  <si>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</si>
  <si>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</si>
  <si>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</si>
  <si>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</si>
  <si>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</si>
  <si>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</si>
  <si>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</si>
  <si>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</si>
  <si>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</si>
  <si>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</si>
  <si>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</si>
  <si>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</si>
  <si>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</si>
  <si>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</si>
  <si>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</si>
  <si>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</si>
  <si>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</si>
  <si>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</si>
  <si>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</si>
  <si>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</si>
  <si>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</si>
  <si>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</si>
  <si>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</si>
  <si>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</si>
  <si>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</si>
  <si>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</si>
  <si>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</si>
  <si>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</si>
  <si>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</si>
  <si>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</si>
  <si>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</si>
  <si>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</si>
  <si>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</si>
  <si>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</si>
  <si>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</si>
  <si>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</si>
  <si>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</si>
  <si>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</si>
  <si>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</si>
  <si>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</si>
  <si>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</si>
  <si>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</si>
  <si>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</si>
  <si>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</si>
  <si>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</si>
  <si>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</si>
  <si>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</si>
  <si>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</si>
  <si>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</si>
  <si>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</si>
  <si>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</si>
  <si>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</si>
  <si>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</si>
  <si>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</si>
  <si>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</si>
  <si>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</si>
  <si>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</si>
  <si>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</si>
  <si>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</si>
  <si>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</si>
  <si>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</si>
  <si>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</si>
  <si>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</si>
  <si>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</si>
  <si>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</si>
  <si>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</si>
  <si>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</si>
  <si>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</si>
  <si>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</si>
  <si>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</si>
  <si>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</si>
  <si>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</si>
  <si>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</si>
  <si>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</si>
  <si>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</si>
  <si>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</si>
  <si>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</si>
  <si>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</si>
  <si>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</si>
  <si>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</si>
  <si>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</si>
  <si>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</si>
  <si>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</si>
  <si>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</si>
  <si>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</si>
  <si>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</si>
  <si>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</si>
  <si>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</si>
  <si>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</si>
  <si>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</si>
  <si>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</si>
  <si>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</si>
  <si>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</si>
  <si>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</si>
  <si>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</si>
  <si>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</si>
  <si>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</si>
  <si>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</si>
  <si>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</si>
  <si>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</si>
  <si>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</si>
  <si>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</si>
  <si>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</si>
  <si>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</si>
  <si>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</si>
  <si>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</si>
  <si>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</si>
  <si>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</si>
  <si>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</si>
  <si>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</si>
  <si>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</si>
  <si>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</si>
  <si>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</si>
  <si>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</si>
  <si>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</si>
  <si>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</si>
  <si>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</si>
  <si>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</si>
  <si>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</si>
  <si>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</si>
  <si>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</si>
  <si>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</si>
  <si>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</si>
  <si>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</si>
  <si>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</si>
  <si>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</si>
  <si>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</si>
  <si>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</si>
  <si>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</si>
  <si>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</si>
  <si>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</si>
  <si>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</si>
  <si>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</si>
  <si>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</si>
  <si>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</si>
  <si>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</si>
  <si>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</si>
  <si>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</si>
  <si>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</si>
  <si>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</si>
  <si>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</si>
  <si>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</si>
  <si>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</si>
  <si>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</si>
  <si>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</si>
  <si>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</si>
  <si>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</si>
  <si>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</si>
  <si>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</si>
  <si>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</si>
  <si>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</si>
  <si>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</si>
  <si>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</si>
  <si>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</si>
  <si>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</si>
  <si>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</si>
  <si>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</si>
  <si>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</si>
  <si>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</si>
  <si>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</si>
  <si>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</si>
  <si>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</si>
  <si>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</si>
  <si>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</si>
  <si>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</si>
  <si>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</si>
  <si>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</si>
  <si>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</si>
  <si>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</si>
  <si>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</si>
  <si>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</si>
  <si>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</si>
  <si>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</si>
  <si>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</si>
  <si>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</si>
  <si>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</si>
  <si>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</si>
  <si>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</si>
  <si>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</si>
  <si>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</si>
  <si>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</si>
  <si>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</si>
  <si>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</si>
  <si>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</si>
  <si>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</si>
  <si>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</si>
  <si>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</si>
  <si>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</si>
  <si>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</si>
  <si>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</si>
  <si>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</si>
  <si>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</si>
  <si>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</si>
  <si>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</si>
  <si>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</si>
  <si>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</si>
  <si>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</si>
  <si>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</si>
  <si>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</si>
  <si>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</si>
  <si>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</si>
  <si>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</si>
  <si>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</si>
  <si>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</si>
  <si>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</si>
  <si>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</si>
  <si>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</si>
  <si>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</si>
  <si>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</si>
  <si>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</si>
  <si>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</si>
  <si>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</si>
  <si>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</si>
  <si>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</si>
  <si>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</si>
  <si>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</si>
  <si>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</si>
  <si>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</si>
  <si>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</si>
  <si>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</si>
  <si>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</si>
  <si>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</si>
  <si>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</si>
  <si>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</si>
  <si>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</si>
  <si>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</si>
  <si>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</si>
  <si>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</si>
  <si>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</si>
  <si>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</si>
  <si>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</si>
  <si>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</si>
  <si>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</si>
  <si>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</si>
  <si>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</si>
  <si>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</si>
  <si>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</si>
  <si>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</si>
  <si>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</si>
  <si>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</si>
  <si>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</si>
  <si>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</si>
  <si>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</si>
  <si>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</si>
  <si>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</si>
  <si>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</si>
  <si>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</si>
  <si>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</si>
  <si>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</si>
  <si>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</si>
  <si>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</si>
  <si>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</si>
  <si>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</si>
  <si>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</si>
  <si>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</si>
  <si>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</si>
  <si>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</si>
  <si>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</si>
  <si>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</si>
  <si>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</si>
  <si>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</si>
  <si>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</si>
  <si>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</si>
  <si>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</si>
  <si>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</si>
  <si>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</si>
  <si>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</si>
  <si>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</si>
  <si>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</si>
  <si>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</si>
  <si>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</si>
  <si>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</si>
  <si>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</si>
  <si>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</si>
  <si>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</si>
  <si>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</si>
  <si>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</si>
  <si>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</si>
  <si>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</si>
  <si>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</si>
  <si>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</si>
  <si>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</si>
  <si>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</si>
  <si>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</si>
  <si>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</si>
  <si>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</si>
  <si>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</si>
  <si>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</si>
  <si>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</si>
  <si>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</si>
  <si>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</si>
  <si>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</si>
  <si>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</si>
  <si>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</si>
  <si>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</si>
  <si>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</si>
  <si>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</si>
  <si>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</si>
  <si>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</si>
  <si>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</si>
  <si>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</si>
  <si>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</si>
  <si>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</si>
  <si>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</si>
  <si>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</si>
  <si>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</si>
  <si>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</si>
  <si>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</si>
  <si>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</si>
  <si>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</si>
  <si>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</si>
  <si>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</si>
  <si>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</si>
  <si>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</si>
  <si>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</si>
  <si>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</si>
  <si>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</si>
  <si>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</si>
  <si>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</si>
  <si>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</si>
  <si>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</si>
  <si>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</si>
  <si>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</si>
  <si>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</si>
  <si>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</si>
  <si>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</si>
  <si>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</si>
  <si>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</si>
  <si>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</si>
  <si>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</si>
  <si>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</si>
  <si>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</si>
  <si>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</si>
  <si>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</si>
  <si>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</si>
  <si>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</si>
  <si>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</si>
  <si>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</si>
  <si>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</si>
  <si>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</si>
  <si>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</si>
  <si>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</si>
  <si>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</si>
  <si>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</si>
  <si>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</si>
  <si>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</si>
  <si>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</si>
  <si>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</si>
  <si>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</si>
  <si>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</si>
  <si>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</si>
  <si>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</si>
  <si>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</si>
  <si>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</si>
  <si>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</si>
  <si>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</si>
  <si>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</si>
  <si>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</si>
  <si>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</si>
  <si>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</si>
  <si>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</si>
  <si>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</si>
  <si>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</si>
  <si>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</si>
  <si>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</si>
  <si>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</si>
  <si>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</si>
  <si>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</si>
  <si>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</si>
  <si>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</si>
  <si>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</si>
  <si>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</si>
  <si>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</si>
  <si>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</si>
  <si>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</si>
  <si>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</si>
  <si>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</si>
  <si>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</si>
  <si>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</si>
  <si>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</si>
  <si>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</si>
  <si>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</si>
  <si>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</si>
  <si>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</si>
  <si>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</si>
  <si>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</si>
  <si>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</si>
  <si>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</si>
  <si>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</si>
  <si>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</si>
  <si>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</si>
  <si>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</si>
  <si>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</si>
  <si>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</si>
  <si>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</si>
  <si>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</si>
  <si>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</si>
  <si>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</si>
  <si>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</si>
  <si>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</si>
  <si>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</si>
  <si>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</si>
  <si>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</si>
  <si>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</si>
  <si>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</si>
  <si>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</si>
  <si>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</si>
  <si>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</si>
  <si>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</si>
  <si>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</si>
  <si>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</si>
  <si>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</si>
  <si>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</si>
  <si>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</si>
  <si>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</si>
  <si>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</si>
  <si>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</si>
  <si>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</si>
  <si>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</si>
  <si>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</si>
  <si>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</si>
  <si>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</si>
  <si>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</si>
  <si>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</si>
  <si>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</si>
  <si>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</si>
  <si>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</si>
  <si>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</si>
  <si>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</si>
  <si>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</si>
  <si>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</si>
  <si>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</si>
  <si>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</si>
  <si>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</si>
  <si>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</si>
  <si>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</si>
  <si>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</si>
  <si>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</si>
  <si>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</si>
  <si>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</si>
  <si>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</si>
  <si>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</si>
  <si>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</si>
  <si>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</si>
  <si>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</si>
  <si>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</si>
  <si>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</si>
  <si>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</si>
  <si>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</si>
  <si>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</si>
  <si>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</si>
  <si>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</si>
  <si>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</si>
  <si>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</si>
  <si>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</si>
  <si>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</si>
  <si>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</si>
  <si>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</si>
  <si>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</si>
  <si>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</si>
  <si>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</si>
  <si>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</si>
  <si>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</si>
  <si>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</si>
  <si>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</si>
  <si>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</si>
  <si>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</si>
  <si>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</si>
  <si>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</si>
  <si>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</si>
  <si>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</si>
  <si>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</si>
  <si>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</si>
  <si>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</si>
  <si>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</si>
  <si>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</si>
  <si>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</si>
  <si>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</si>
  <si>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</si>
  <si>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</si>
  <si>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</si>
  <si>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</si>
  <si>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</si>
  <si>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</si>
  <si>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</si>
  <si>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</si>
  <si>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</si>
  <si>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</si>
  <si>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</si>
  <si>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</si>
  <si>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</si>
  <si>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</si>
  <si>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</si>
  <si>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</si>
  <si>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</si>
  <si>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</si>
  <si>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</si>
  <si>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</si>
  <si>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</si>
  <si>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</si>
  <si>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</si>
  <si>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</si>
  <si>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</si>
  <si>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</si>
  <si>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</si>
  <si>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</si>
  <si>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</si>
  <si>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</si>
  <si>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</si>
  <si>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</si>
  <si>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</si>
  <si>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</si>
  <si>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</si>
  <si>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</si>
  <si>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</si>
  <si>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</si>
  <si>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</si>
  <si>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</si>
  <si>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</si>
  <si>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</si>
  <si>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</si>
  <si>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</si>
  <si>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</si>
  <si>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</si>
  <si>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</si>
  <si>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</si>
  <si>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</si>
  <si>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</si>
  <si>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</si>
  <si>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</si>
  <si>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</si>
  <si>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</si>
  <si>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</si>
  <si>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</si>
  <si>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</si>
  <si>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</si>
  <si>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</si>
  <si>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</si>
  <si>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</si>
  <si>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</si>
  <si>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</si>
  <si>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</si>
  <si>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</si>
  <si>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</si>
  <si>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</si>
  <si>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</si>
  <si>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</si>
  <si>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</si>
  <si>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</si>
  <si>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</si>
  <si>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</si>
  <si>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</si>
  <si>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</si>
  <si>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</si>
  <si>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</si>
  <si>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</si>
  <si>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</si>
  <si>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</si>
  <si>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</si>
  <si>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</si>
  <si>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</si>
  <si>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</si>
  <si>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</si>
  <si>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</si>
  <si>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</si>
  <si>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</si>
  <si>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</si>
  <si>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</si>
  <si>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</si>
  <si>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</si>
  <si>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</si>
  <si>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</si>
  <si>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</si>
  <si>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</si>
  <si>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</si>
  <si>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</si>
  <si>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</si>
  <si>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</si>
  <si>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</si>
  <si>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</si>
  <si>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</si>
  <si>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</si>
  <si>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</si>
  <si>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</si>
  <si>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</si>
  <si>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</si>
  <si>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</si>
  <si>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</si>
  <si>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</si>
  <si>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</si>
  <si>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</si>
  <si>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</si>
  <si>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</si>
  <si>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</si>
  <si>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</si>
  <si>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</si>
  <si>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</si>
  <si>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</si>
  <si>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</si>
  <si>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</si>
  <si>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</si>
  <si>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</si>
  <si>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</si>
  <si>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</si>
  <si>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</si>
  <si>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</si>
  <si>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</si>
  <si>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</si>
  <si>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</si>
  <si>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</si>
  <si>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</si>
  <si>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</si>
  <si>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</si>
  <si>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</si>
  <si>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</si>
  <si>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</si>
  <si>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</si>
  <si>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</si>
  <si>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</si>
  <si>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</si>
  <si>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</si>
  <si>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</si>
  <si>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</si>
  <si>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</si>
  <si>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</si>
  <si>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</si>
  <si>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</si>
  <si>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</si>
  <si>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</si>
  <si>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</si>
  <si>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</si>
  <si>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</si>
  <si>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</si>
  <si>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</si>
  <si>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</si>
  <si>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</si>
  <si>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</si>
  <si>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</si>
  <si>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</si>
  <si>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</si>
  <si>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</si>
  <si>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</si>
  <si>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</si>
  <si>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</si>
  <si>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</si>
  <si>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</si>
  <si>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</si>
  <si>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</si>
  <si>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</si>
  <si>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</si>
  <si>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</si>
  <si>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</si>
  <si>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</si>
  <si>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</si>
  <si>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</si>
  <si>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</si>
  <si>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</si>
  <si>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</si>
  <si>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</si>
  <si>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</si>
  <si>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</si>
  <si>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</si>
  <si>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</si>
  <si>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</si>
  <si>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</si>
  <si>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</si>
  <si>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</si>
  <si>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</si>
  <si>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</si>
  <si>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</si>
  <si>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</si>
  <si>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</si>
  <si>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</si>
  <si>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</si>
  <si>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</si>
  <si>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</si>
  <si>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</si>
  <si>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</si>
  <si>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</si>
  <si>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</si>
  <si>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</si>
  <si>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</si>
  <si>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</si>
  <si>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</si>
  <si>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</si>
  <si>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</si>
  <si>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</si>
  <si>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</si>
  <si>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</si>
  <si>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</si>
  <si>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</si>
  <si>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</si>
  <si>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</si>
  <si>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</si>
  <si>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</si>
  <si>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</si>
  <si>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</si>
  <si>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</si>
  <si>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</si>
  <si>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</si>
  <si>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</si>
  <si>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</si>
  <si>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</si>
  <si>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</si>
  <si>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</si>
  <si>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</si>
  <si>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</si>
  <si>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</si>
  <si>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</si>
  <si>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</si>
  <si>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</si>
  <si>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</si>
  <si>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</si>
  <si>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</si>
  <si>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</si>
  <si>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</si>
  <si>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</si>
  <si>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</si>
  <si>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</si>
  <si>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</si>
  <si>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</si>
  <si>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</si>
  <si>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</si>
  <si>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</si>
  <si>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</si>
  <si>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</si>
  <si>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</si>
  <si>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</si>
  <si>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</si>
  <si>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</si>
  <si>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</si>
  <si>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</si>
  <si>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</si>
  <si>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</si>
  <si>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</si>
  <si>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</si>
  <si>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</si>
  <si>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</si>
  <si>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</si>
  <si>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</si>
  <si>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</si>
  <si>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</si>
  <si>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</si>
  <si>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</si>
  <si>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</si>
  <si>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</si>
  <si>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</si>
  <si>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</si>
  <si>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</si>
  <si>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</si>
  <si>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</si>
  <si>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</si>
  <si>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</si>
  <si>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</si>
  <si>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</si>
  <si>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</si>
  <si>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</si>
  <si>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</si>
  <si>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</si>
  <si>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</si>
  <si>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</si>
  <si>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</si>
  <si>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</si>
  <si>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</si>
  <si>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</si>
  <si>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</si>
  <si>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</si>
  <si>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</si>
  <si>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</si>
  <si>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</si>
  <si>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</si>
  <si>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</si>
  <si>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</si>
  <si>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</si>
  <si>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</si>
  <si>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</si>
  <si>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</si>
  <si>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</si>
  <si>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</si>
  <si>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</si>
  <si>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</si>
  <si>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</si>
  <si>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</si>
  <si>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</si>
  <si>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</si>
  <si>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</si>
  <si>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</si>
  <si>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</si>
  <si>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</si>
  <si>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</si>
  <si>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</si>
  <si>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</si>
  <si>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</si>
  <si>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</si>
  <si>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</si>
  <si>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</si>
  <si>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</si>
  <si>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</si>
  <si>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</si>
  <si>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</si>
  <si>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</si>
  <si>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</si>
  <si>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</si>
  <si>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</si>
  <si>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</si>
  <si>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</si>
  <si>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</si>
  <si>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</si>
  <si>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</si>
  <si>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</si>
  <si>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</si>
  <si>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</si>
  <si>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</si>
  <si>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</si>
  <si>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</si>
  <si>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</si>
  <si>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</si>
  <si>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</si>
  <si>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</si>
  <si>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</si>
  <si>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</si>
  <si>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</si>
  <si>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</si>
  <si>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</si>
  <si>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</si>
  <si>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</si>
  <si>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</si>
  <si>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</si>
  <si>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</si>
  <si>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</si>
  <si>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</si>
  <si>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</si>
  <si>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</si>
  <si>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</si>
  <si>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</si>
  <si>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</si>
  <si>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</si>
  <si>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</si>
  <si>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</si>
  <si>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</si>
  <si>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</si>
  <si>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</si>
  <si>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</si>
  <si>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</si>
  <si>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</si>
  <si>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</si>
  <si>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</si>
  <si>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</si>
  <si>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</si>
  <si>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</si>
  <si>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</si>
  <si>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</si>
  <si>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</si>
  <si>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</si>
  <si>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</si>
  <si>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</si>
  <si>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</si>
  <si>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</si>
  <si>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</si>
  <si>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</si>
  <si>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</si>
  <si>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</si>
  <si>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</si>
  <si>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</si>
  <si>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</si>
  <si>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</si>
  <si>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</si>
  <si>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</si>
  <si>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</si>
  <si>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</si>
  <si>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</si>
  <si>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</si>
  <si>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</si>
  <si>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</si>
  <si>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</si>
  <si>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</si>
  <si>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</si>
  <si>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</si>
  <si>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</si>
  <si>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</si>
  <si>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</si>
  <si>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</si>
  <si>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</si>
  <si>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</si>
  <si>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</si>
  <si>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</si>
  <si>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</si>
  <si>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</si>
  <si>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</si>
  <si>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</si>
  <si>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</si>
  <si>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</si>
  <si>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</si>
  <si>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</si>
  <si>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</si>
  <si>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</si>
  <si>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</si>
  <si>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</si>
  <si>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</si>
  <si>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</si>
  <si>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</si>
  <si>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</si>
  <si>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</si>
  <si>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</si>
  <si>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</si>
  <si>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</si>
  <si>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</si>
  <si>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</si>
  <si>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</si>
  <si>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</si>
  <si>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</si>
  <si>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</si>
  <si>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</si>
  <si>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</si>
  <si>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</si>
  <si>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</si>
  <si>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</si>
  <si>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</si>
  <si>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</si>
  <si>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</si>
  <si>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</si>
  <si>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</si>
  <si>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</si>
  <si>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</si>
  <si>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</si>
  <si>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</si>
  <si>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</si>
  <si>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</si>
  <si>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</si>
  <si>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</si>
  <si>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</si>
  <si>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</si>
  <si>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</si>
  <si>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</si>
  <si>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</si>
  <si>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</si>
  <si>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</si>
  <si>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</si>
  <si>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</si>
  <si>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</si>
  <si>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</si>
  <si>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</si>
  <si>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</si>
  <si>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</si>
  <si>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</si>
  <si>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</si>
  <si>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</si>
  <si>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</si>
  <si>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</si>
  <si>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</si>
  <si>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</si>
  <si>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</si>
  <si>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</si>
  <si>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</si>
  <si>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</si>
  <si>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</si>
  <si>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</si>
  <si>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</si>
  <si>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</si>
  <si>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</si>
  <si>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</si>
  <si>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</si>
  <si>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</si>
  <si>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</si>
  <si>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</si>
  <si>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</si>
  <si>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</si>
  <si>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</si>
  <si>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</si>
  <si>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</si>
  <si>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</si>
  <si>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</si>
  <si>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</si>
  <si>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</si>
  <si>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</si>
  <si>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</si>
  <si>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</si>
  <si>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</si>
  <si>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</si>
  <si>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</si>
  <si>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</si>
  <si>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</si>
  <si>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</si>
  <si>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</si>
  <si>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</si>
  <si>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</si>
  <si>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</si>
  <si>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</si>
  <si>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</si>
  <si>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</si>
  <si>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</si>
  <si>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</si>
  <si>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</si>
  <si>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</si>
  <si>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</si>
  <si>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</si>
  <si>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</si>
  <si>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</si>
  <si>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</si>
  <si>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</si>
  <si>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</si>
  <si>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</si>
  <si>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</si>
  <si>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</si>
  <si>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</si>
  <si>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</si>
  <si>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</si>
  <si>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</si>
  <si>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</si>
  <si>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</si>
  <si>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</si>
  <si>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</si>
  <si>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</si>
  <si>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</si>
  <si>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</si>
  <si>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</si>
  <si>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</si>
  <si>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</si>
  <si>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</si>
  <si>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</si>
  <si>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</si>
  <si>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</si>
  <si>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</si>
  <si>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</si>
  <si>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</si>
  <si>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</si>
  <si>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</si>
  <si>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</si>
  <si>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</si>
  <si>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</si>
  <si>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</si>
  <si>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</si>
  <si>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</si>
  <si>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</si>
  <si>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</si>
  <si>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</si>
  <si>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</si>
  <si>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</si>
  <si>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</si>
  <si>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</si>
  <si>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</si>
  <si>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</si>
  <si>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</si>
  <si>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</si>
  <si>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</si>
  <si>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</si>
  <si>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</si>
  <si>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</si>
  <si>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</si>
  <si>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</si>
  <si>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</si>
  <si>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</si>
  <si>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</si>
  <si>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</si>
  <si>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</si>
  <si>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</si>
  <si>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</si>
  <si>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</si>
  <si>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</si>
  <si>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</si>
  <si>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</si>
  <si>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</si>
  <si>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</si>
  <si>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</si>
  <si>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</si>
  <si>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</si>
  <si>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</si>
  <si>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</si>
  <si>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</si>
  <si>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</si>
  <si>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</si>
  <si>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</si>
  <si>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</si>
  <si>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</si>
  <si>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</si>
  <si>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</si>
  <si>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</si>
  <si>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</si>
  <si>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</si>
  <si>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</si>
  <si>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</si>
  <si>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</si>
  <si>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</si>
  <si>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</si>
  <si>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</si>
  <si>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</si>
  <si>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</si>
  <si>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</si>
  <si>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</si>
  <si>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</si>
  <si>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</si>
  <si>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</si>
  <si>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</si>
  <si>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</si>
  <si>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</si>
  <si>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</si>
  <si>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</si>
  <si>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</si>
  <si>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</si>
  <si>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</si>
  <si>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</si>
  <si>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</si>
  <si>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</si>
  <si>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</si>
  <si>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</si>
  <si>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</si>
  <si>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</si>
  <si>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</si>
  <si>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</si>
  <si>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</si>
  <si>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</si>
  <si>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</si>
  <si>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</si>
  <si>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</si>
  <si>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</si>
  <si>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</si>
  <si>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</si>
  <si>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</si>
  <si>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</si>
  <si>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</si>
  <si>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</si>
  <si>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</si>
  <si>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</si>
  <si>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</si>
  <si>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</si>
  <si>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</si>
  <si>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</si>
  <si>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</si>
  <si>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</si>
  <si>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</si>
  <si>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</si>
  <si>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</si>
  <si>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</si>
  <si>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</si>
  <si>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</si>
  <si>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</si>
  <si>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</si>
  <si>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</si>
  <si>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</si>
  <si>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</si>
  <si>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</si>
  <si>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</si>
  <si>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</si>
  <si>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</si>
  <si>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</si>
  <si>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</si>
  <si>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</si>
  <si>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</si>
  <si>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</si>
  <si>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</si>
  <si>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</si>
  <si>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</si>
  <si>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</si>
  <si>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</si>
  <si>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</si>
  <si>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</si>
  <si>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</si>
  <si>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</si>
  <si>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</si>
  <si>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</si>
  <si>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</si>
  <si>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</si>
  <si>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</si>
  <si>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</si>
  <si>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</si>
  <si>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</si>
  <si>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</si>
  <si>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</si>
  <si>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</si>
  <si>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</si>
  <si>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</si>
  <si>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</si>
  <si>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</si>
  <si>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</si>
  <si>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</si>
  <si>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</si>
  <si>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</si>
  <si>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</si>
  <si>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</si>
  <si>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</si>
  <si>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</si>
  <si>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</si>
  <si>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</si>
  <si>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</si>
  <si>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</si>
  <si>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</si>
  <si>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</si>
  <si>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</si>
  <si>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</si>
  <si>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</si>
  <si>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</si>
  <si>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</si>
  <si>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</si>
  <si>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</si>
  <si>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</si>
  <si>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</si>
  <si>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</si>
  <si>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</si>
  <si>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</si>
  <si>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</si>
  <si>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</si>
  <si>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</si>
  <si>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</si>
  <si>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</si>
  <si>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</si>
  <si>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</si>
  <si>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</si>
  <si>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</si>
  <si>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</si>
  <si>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</si>
  <si>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</si>
  <si>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</si>
  <si>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</si>
  <si>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</si>
  <si>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</si>
  <si>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</si>
  <si>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</si>
  <si>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</si>
  <si>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</si>
  <si>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</si>
  <si>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</si>
  <si>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</si>
  <si>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</si>
  <si>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</si>
  <si>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</si>
  <si>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</si>
  <si>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</si>
  <si>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</si>
  <si>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</si>
  <si>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</si>
  <si>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</si>
  <si>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</si>
  <si>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</si>
  <si>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</si>
  <si>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</si>
  <si>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</si>
  <si>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</si>
  <si>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</si>
  <si>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</si>
  <si>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</si>
  <si>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</si>
  <si>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</si>
  <si>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</si>
  <si>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</si>
  <si>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</si>
  <si>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</si>
  <si>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</si>
  <si>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</si>
  <si>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</si>
  <si>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</si>
  <si>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</si>
  <si>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</si>
  <si>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</si>
  <si>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</si>
  <si>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</si>
  <si>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</si>
  <si>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</si>
  <si>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</si>
  <si>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</si>
  <si>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</si>
  <si>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</si>
  <si>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</si>
  <si>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</si>
  <si>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</si>
  <si>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</si>
  <si>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</si>
  <si>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</si>
  <si>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</si>
  <si>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</si>
  <si>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</si>
  <si>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</si>
  <si>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</si>
  <si>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</si>
  <si>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</si>
  <si>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</si>
  <si>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</si>
  <si>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</si>
  <si>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</si>
  <si>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</si>
  <si>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</si>
  <si>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</si>
  <si>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</si>
  <si>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</si>
  <si>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</si>
  <si>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</si>
  <si>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</si>
  <si>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</si>
  <si>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</si>
  <si>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</si>
  <si>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</si>
  <si>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</si>
  <si>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</si>
  <si>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</si>
  <si>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</si>
  <si>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</si>
  <si>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</si>
  <si>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</si>
  <si>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</si>
  <si>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</si>
  <si>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</si>
  <si>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</si>
  <si>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</si>
  <si>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</si>
  <si>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</si>
  <si>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</si>
  <si>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</si>
  <si>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</si>
  <si>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</si>
  <si>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</si>
  <si>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</si>
  <si>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</si>
  <si>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</si>
  <si>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</si>
  <si>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</si>
  <si>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</si>
  <si>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</si>
  <si>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</si>
  <si>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</si>
  <si>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</si>
  <si>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</si>
  <si>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</si>
  <si>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</si>
  <si>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</si>
  <si>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</si>
  <si>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</si>
  <si>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</si>
  <si>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</si>
  <si>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</si>
  <si>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</si>
  <si>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</si>
  <si>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</si>
  <si>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</si>
  <si>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</si>
  <si>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</si>
  <si>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</si>
  <si>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</si>
  <si>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</si>
  <si>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</si>
  <si>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</si>
  <si>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</si>
  <si>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</si>
  <si>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</si>
  <si>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</si>
  <si>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</si>
  <si>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</si>
  <si>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</si>
  <si>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</si>
  <si>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</si>
  <si>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</si>
  <si>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</si>
  <si>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</si>
  <si>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</si>
  <si>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</si>
  <si>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</si>
  <si>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</si>
  <si>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</si>
  <si>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</si>
  <si>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</si>
  <si>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</si>
  <si>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</si>
  <si>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</si>
  <si>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</si>
  <si>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</si>
  <si>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</si>
  <si>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</si>
  <si>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</si>
  <si>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</si>
  <si>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</si>
  <si>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</si>
  <si>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</si>
  <si>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</si>
  <si>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</si>
  <si>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</si>
  <si>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</si>
  <si>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</si>
  <si>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</si>
  <si>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</si>
  <si>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</si>
  <si>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</si>
  <si>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</si>
  <si>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</si>
  <si>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</si>
  <si>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</si>
  <si>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</si>
  <si>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</si>
  <si>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</si>
  <si>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</si>
  <si>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</si>
  <si>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</si>
  <si>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</si>
  <si>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</si>
  <si>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</si>
  <si>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</si>
  <si>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</si>
  <si>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</si>
  <si>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</si>
  <si>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</si>
  <si>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</si>
  <si>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</si>
  <si>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</si>
  <si>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</si>
  <si>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</si>
  <si>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</si>
  <si>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</si>
  <si>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</si>
  <si>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</si>
  <si>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</si>
  <si>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</si>
  <si>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</si>
  <si>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</si>
  <si>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</si>
  <si>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</si>
  <si>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</si>
  <si>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</si>
  <si>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</si>
  <si>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</si>
  <si>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</si>
  <si>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</si>
  <si>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</si>
  <si>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</si>
  <si>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</si>
  <si>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</si>
  <si>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</si>
  <si>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</si>
  <si>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</si>
  <si>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</si>
  <si>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</si>
  <si>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</si>
  <si>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</si>
  <si>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</si>
  <si>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</si>
  <si>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</si>
  <si>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</si>
  <si>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</si>
  <si>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</si>
  <si>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</si>
  <si>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</si>
  <si>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</si>
  <si>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</si>
  <si>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</si>
  <si>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</si>
  <si>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</si>
  <si>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</si>
  <si>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</si>
  <si>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</si>
  <si>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</si>
  <si>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</si>
  <si>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</si>
  <si>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</si>
  <si>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</si>
  <si>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</si>
  <si>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</si>
  <si>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</si>
  <si>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</si>
  <si>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</si>
  <si>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</si>
  <si>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</si>
  <si>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</si>
  <si>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</si>
  <si>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</si>
  <si>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</si>
  <si>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</si>
  <si>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</si>
  <si>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</si>
  <si>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</si>
  <si>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</si>
  <si>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</si>
  <si>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</si>
  <si>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</si>
  <si>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</si>
  <si>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</si>
  <si>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</si>
  <si>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</si>
  <si>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</si>
  <si>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</si>
  <si>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</si>
  <si>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</si>
  <si>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</si>
  <si>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</si>
  <si>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</si>
  <si>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</si>
  <si>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</si>
  <si>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</si>
  <si>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</si>
  <si>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</si>
  <si>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</si>
  <si>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</si>
  <si>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</si>
  <si>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</si>
  <si>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</si>
  <si>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</si>
  <si>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</si>
  <si>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</si>
  <si>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</si>
  <si>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</si>
  <si>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</si>
  <si>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</si>
  <si>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</si>
  <si>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</si>
  <si>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</si>
  <si>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</si>
  <si>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</si>
  <si>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</si>
  <si>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</si>
  <si>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</si>
  <si>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</si>
  <si>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</si>
  <si>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</si>
  <si>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</si>
  <si>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</si>
  <si>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</si>
  <si>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</si>
  <si>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</si>
  <si>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</si>
  <si>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</si>
  <si>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</si>
  <si>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</si>
  <si>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</si>
  <si>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</si>
  <si>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</si>
  <si>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</si>
  <si>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</si>
  <si>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</si>
  <si>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</si>
  <si>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</si>
  <si>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</si>
  <si>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</si>
  <si>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</si>
  <si>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</si>
  <si>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</si>
  <si>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</si>
  <si>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</si>
  <si>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</si>
  <si>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</si>
  <si>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</si>
  <si>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</si>
  <si>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</si>
  <si>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</si>
  <si>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</si>
  <si>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</si>
  <si>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</si>
  <si>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</si>
  <si>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</si>
  <si>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</si>
  <si>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</si>
  <si>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</si>
  <si>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</si>
  <si>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</si>
  <si>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</si>
  <si>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</si>
  <si>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</si>
  <si>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</si>
  <si>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</si>
  <si>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</si>
  <si>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</si>
  <si>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</si>
  <si>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</si>
  <si>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</si>
  <si>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</si>
  <si>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</si>
  <si>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</si>
  <si>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</si>
  <si>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</si>
  <si>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</si>
  <si>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</si>
  <si>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</si>
  <si>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</si>
  <si>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</si>
  <si>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</si>
  <si>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</si>
  <si>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</si>
  <si>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</si>
  <si>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</si>
  <si>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</si>
  <si>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</si>
  <si>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</si>
  <si>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</si>
  <si>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</si>
  <si>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</si>
  <si>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</si>
  <si>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</si>
  <si>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</si>
  <si>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</si>
  <si>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</si>
  <si>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</si>
  <si>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</si>
  <si>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</si>
  <si>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</si>
  <si>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</si>
  <si>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</si>
  <si>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</si>
  <si>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</si>
  <si>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</si>
  <si>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</si>
  <si>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</si>
  <si>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</si>
  <si>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</si>
  <si>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</si>
  <si>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</si>
  <si>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</si>
  <si>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</si>
  <si>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</si>
  <si>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</si>
  <si>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</si>
  <si>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</si>
  <si>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</si>
  <si>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</si>
  <si>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</si>
  <si>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</si>
  <si>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</si>
  <si>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</si>
  <si>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</si>
  <si>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</si>
  <si>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</si>
  <si>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</si>
  <si>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</si>
  <si>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</si>
  <si>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</si>
  <si>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</si>
  <si>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</si>
  <si>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</si>
  <si>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</si>
  <si>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</si>
  <si>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</si>
  <si>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</si>
  <si>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</si>
  <si>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</si>
  <si>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</si>
  <si>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</si>
  <si>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</si>
  <si>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</si>
  <si>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</si>
  <si>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</si>
  <si>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</si>
  <si>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</si>
  <si>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</si>
  <si>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</si>
  <si>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</si>
  <si>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</si>
  <si>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</si>
  <si>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</si>
  <si>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</si>
  <si>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</si>
  <si>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</si>
  <si>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</si>
  <si>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</si>
  <si>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</si>
  <si>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</si>
  <si>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</si>
  <si>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</si>
  <si>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</si>
  <si>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</si>
  <si>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</si>
  <si>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</si>
  <si>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</si>
  <si>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</si>
  <si>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</si>
  <si>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</si>
  <si>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</si>
  <si>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</si>
  <si>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</si>
  <si>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</si>
  <si>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</si>
  <si>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</si>
  <si>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</si>
  <si>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</si>
  <si>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</si>
  <si>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</si>
  <si>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</si>
  <si>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</si>
  <si>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</si>
  <si>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</si>
  <si>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</si>
  <si>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</si>
  <si>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</si>
  <si>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</si>
  <si>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</si>
  <si>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</si>
  <si>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</si>
  <si>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</si>
  <si>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</si>
  <si>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</si>
  <si>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</si>
  <si>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</si>
  <si>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</si>
  <si>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</si>
  <si>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</si>
  <si>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</si>
  <si>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</si>
  <si>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</si>
  <si>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</si>
  <si>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</si>
  <si>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</si>
  <si>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</si>
  <si>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</si>
  <si>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</si>
  <si>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</si>
  <si>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</si>
  <si>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</si>
  <si>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</si>
  <si>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</si>
  <si>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</si>
  <si>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</si>
  <si>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</si>
  <si>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</si>
  <si>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</si>
  <si>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</si>
  <si>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</si>
  <si>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</si>
  <si>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</si>
  <si>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</si>
  <si>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</si>
  <si>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</si>
  <si>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</si>
  <si>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</si>
  <si>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</si>
  <si>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</si>
  <si>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</si>
  <si>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</si>
  <si>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</si>
  <si>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</si>
  <si>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</si>
  <si>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</si>
  <si>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</si>
  <si>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</si>
  <si>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</si>
  <si>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</si>
  <si>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</si>
  <si>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</si>
  <si>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</si>
  <si>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</si>
  <si>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</si>
  <si>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</si>
  <si>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</si>
  <si>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</si>
  <si>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</si>
  <si>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</si>
  <si>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</si>
  <si>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</si>
  <si>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</si>
  <si>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</si>
  <si>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</si>
  <si>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</si>
  <si>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</si>
  <si>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</si>
  <si>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</si>
  <si>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</si>
  <si>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</si>
  <si>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</si>
  <si>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</si>
  <si>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</si>
  <si>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</si>
  <si>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</si>
  <si>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</si>
  <si>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</si>
  <si>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</si>
  <si>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</si>
  <si>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</si>
  <si>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</si>
  <si>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</si>
  <si>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</si>
  <si>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</si>
  <si>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</si>
  <si>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</si>
  <si>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</si>
  <si>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</si>
  <si>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</si>
  <si>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</si>
  <si>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</si>
  <si>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</si>
  <si>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</si>
  <si>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</si>
  <si>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</si>
  <si>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</si>
  <si>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</si>
  <si>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</si>
  <si>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</si>
  <si>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</si>
  <si>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</si>
  <si>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</si>
  <si>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</si>
  <si>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</si>
  <si>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</si>
  <si>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</si>
  <si>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</si>
  <si>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</si>
  <si>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</si>
  <si>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</si>
  <si>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</si>
  <si>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</si>
  <si>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</si>
  <si>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</si>
  <si>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</si>
  <si>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</si>
  <si>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</si>
  <si>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</si>
  <si>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</si>
  <si>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</si>
  <si>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</si>
  <si>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</si>
  <si>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</si>
  <si>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</si>
  <si>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</si>
  <si>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</si>
  <si>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</si>
  <si>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</si>
  <si>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</si>
  <si>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</si>
  <si>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</si>
  <si>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</si>
  <si>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</si>
  <si>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</si>
  <si>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</si>
  <si>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</si>
  <si>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</si>
  <si>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</si>
  <si>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</si>
  <si>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</si>
  <si>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</si>
  <si>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</si>
  <si>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</si>
  <si>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</si>
  <si>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</si>
  <si>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</si>
  <si>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</si>
  <si>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</si>
  <si>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</si>
  <si>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</si>
  <si>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</si>
  <si>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</si>
  <si>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</si>
  <si>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</si>
  <si>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</si>
  <si>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</si>
  <si>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</si>
  <si>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</si>
  <si>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</si>
  <si>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</si>
  <si>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</si>
  <si>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</si>
  <si>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</si>
  <si>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</si>
  <si>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</si>
  <si>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</si>
  <si>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</si>
  <si>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</si>
  <si>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</si>
  <si>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</si>
  <si>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</si>
  <si>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</si>
  <si>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</si>
  <si>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</si>
  <si>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</si>
  <si>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</si>
  <si>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</si>
  <si>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</si>
  <si>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</si>
  <si>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</si>
  <si>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</si>
  <si>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</si>
  <si>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</si>
  <si>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</si>
  <si>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</si>
  <si>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</si>
  <si>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</si>
  <si>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</si>
  <si>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</si>
  <si>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</si>
  <si>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</si>
  <si>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</si>
  <si>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</si>
  <si>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</si>
  <si>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</si>
  <si>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</si>
  <si>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</si>
  <si>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</si>
  <si>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</si>
  <si>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</si>
  <si>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</si>
  <si>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</si>
  <si>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</si>
  <si>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</si>
  <si>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</si>
  <si>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</si>
  <si>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</si>
  <si>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</si>
  <si>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</si>
  <si>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</si>
  <si>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</si>
  <si>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</si>
  <si>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</si>
  <si>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</si>
  <si>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</si>
  <si>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</si>
  <si>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</si>
  <si>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</si>
  <si>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</si>
  <si>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</si>
  <si>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</si>
  <si>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</si>
  <si>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</si>
  <si>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</si>
  <si>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</si>
  <si>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</si>
  <si>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</si>
  <si>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</si>
  <si>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</si>
  <si>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</si>
  <si>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</si>
  <si>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</si>
  <si>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</si>
  <si>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</si>
  <si>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</si>
  <si>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</si>
  <si>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</si>
  <si>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</si>
  <si>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</si>
  <si>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</si>
  <si>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</si>
  <si>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</si>
  <si>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</si>
  <si>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</si>
  <si>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</si>
  <si>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</si>
  <si>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</si>
  <si>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</si>
  <si>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</si>
  <si>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</si>
  <si>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</si>
  <si>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</si>
  <si>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</si>
  <si>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</si>
  <si>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</si>
  <si>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</si>
  <si>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</si>
  <si>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</si>
  <si>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</si>
  <si>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</si>
  <si>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</si>
  <si>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</si>
  <si>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</si>
  <si>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</si>
  <si>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</si>
  <si>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</si>
  <si>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</si>
  <si>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</si>
  <si>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</si>
  <si>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</si>
  <si>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</si>
  <si>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</si>
  <si>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</si>
  <si>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</si>
  <si>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</si>
  <si>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</si>
  <si>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</si>
  <si>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</si>
  <si>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</si>
  <si>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</si>
  <si>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</si>
  <si>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</si>
  <si>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</si>
  <si>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</si>
  <si>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</si>
  <si>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</si>
  <si>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</si>
  <si>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</si>
  <si>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</si>
  <si>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</si>
  <si>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</si>
  <si>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</si>
  <si>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</si>
  <si>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</si>
  <si>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</si>
  <si>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</si>
  <si>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</si>
  <si>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</si>
  <si>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</si>
  <si>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</si>
  <si>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</si>
  <si>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</si>
  <si>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</si>
  <si>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</si>
  <si>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</si>
  <si>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</si>
  <si>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</si>
  <si>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</si>
  <si>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</si>
  <si>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</si>
  <si>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</si>
  <si>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</si>
  <si>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</si>
  <si>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</si>
  <si>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</si>
  <si>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</si>
  <si>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</si>
  <si>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</si>
  <si>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</si>
  <si>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</si>
  <si>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</si>
  <si>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</si>
  <si>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</si>
  <si>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</si>
  <si>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</si>
  <si>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</si>
  <si>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</si>
  <si>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</si>
  <si>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</si>
  <si>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</si>
  <si>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</si>
  <si>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</si>
  <si>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</si>
  <si>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</si>
  <si>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</si>
  <si>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</si>
  <si>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</si>
  <si>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</si>
  <si>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</si>
  <si>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</si>
  <si>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</si>
  <si>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</si>
  <si>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</si>
  <si>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</si>
  <si>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</si>
  <si>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</si>
  <si>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</si>
  <si>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</si>
  <si>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</si>
  <si>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</si>
  <si>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</si>
  <si>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</si>
  <si>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</si>
  <si>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</si>
  <si>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</si>
  <si>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</si>
  <si>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</si>
  <si>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</si>
  <si>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</si>
  <si>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</si>
  <si>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</si>
  <si>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</si>
  <si>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</si>
  <si>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</si>
  <si>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</si>
  <si>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</si>
  <si>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</si>
  <si>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</si>
  <si>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</si>
  <si>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</si>
  <si>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</si>
  <si>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</si>
  <si>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</si>
  <si>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</si>
  <si>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</si>
  <si>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</si>
  <si>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</si>
  <si>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</si>
  <si>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</si>
  <si>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</si>
  <si>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</si>
  <si>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</si>
  <si>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</si>
  <si>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</si>
  <si>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</si>
  <si>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</si>
  <si>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</si>
  <si>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</si>
  <si>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</si>
  <si>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</si>
  <si>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</si>
  <si>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</si>
  <si>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</si>
  <si>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</si>
  <si>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</si>
  <si>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</si>
  <si>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</si>
  <si>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</si>
  <si>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</si>
  <si>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</si>
  <si>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</si>
  <si>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</si>
  <si>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</si>
  <si>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</si>
  <si>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</si>
  <si>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</si>
  <si>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</si>
  <si>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</si>
  <si>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</si>
  <si>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</si>
  <si>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</si>
  <si>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</si>
  <si>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</si>
  <si>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</si>
  <si>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</si>
  <si>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</si>
  <si>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</si>
  <si>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</si>
  <si>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</si>
  <si>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</si>
  <si>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</si>
  <si>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</si>
  <si>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</si>
  <si>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</si>
  <si>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</si>
  <si>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</si>
  <si>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</si>
  <si>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</si>
  <si>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</si>
  <si>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</si>
  <si>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</si>
  <si>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</si>
  <si>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</si>
  <si>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</si>
  <si>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</si>
  <si>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</si>
  <si>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</si>
  <si>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</si>
  <si>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</si>
  <si>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</si>
  <si>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</si>
  <si>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</si>
  <si>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</si>
  <si>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</si>
  <si>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</si>
  <si>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</si>
  <si>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</si>
  <si>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</si>
  <si>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</si>
  <si>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</si>
  <si>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</si>
  <si>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</si>
  <si>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</si>
  <si>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</si>
  <si>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</si>
  <si>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</si>
  <si>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</si>
  <si>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</si>
  <si>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</si>
  <si>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</si>
  <si>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</si>
  <si>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</si>
  <si>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</si>
  <si>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</si>
  <si>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</si>
  <si>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</si>
  <si>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</si>
  <si>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</si>
  <si>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</si>
  <si>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</si>
  <si>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</si>
  <si>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</si>
  <si>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</si>
  <si>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</si>
  <si>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</si>
  <si>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</si>
  <si>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</si>
  <si>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</si>
  <si>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</si>
  <si>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</si>
  <si>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</si>
  <si>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</si>
  <si>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</si>
  <si>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</si>
  <si>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</si>
  <si>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</si>
  <si>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</si>
  <si>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</si>
  <si>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</si>
  <si>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</si>
  <si>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</si>
  <si>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</si>
  <si>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</si>
  <si>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</si>
  <si>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</si>
  <si>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</si>
  <si>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</si>
  <si>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</si>
  <si>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</si>
  <si>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</si>
  <si>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</si>
  <si>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</si>
  <si>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</si>
  <si>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</si>
  <si>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</si>
  <si>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</si>
  <si>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</si>
  <si>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</si>
  <si>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</si>
  <si>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</si>
  <si>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</si>
  <si>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</si>
  <si>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</si>
  <si>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</si>
  <si>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</si>
  <si>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</si>
  <si>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</si>
  <si>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</si>
  <si>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</si>
  <si>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</si>
  <si>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</si>
  <si>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</si>
  <si>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</si>
  <si>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</si>
  <si>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</si>
  <si>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</si>
  <si>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</si>
  <si>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</si>
  <si>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</si>
  <si>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</si>
  <si>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</si>
  <si>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</si>
  <si>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</si>
  <si>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</si>
  <si>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</si>
  <si>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</si>
  <si>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</si>
  <si>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</si>
  <si>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</si>
  <si>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</si>
  <si>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</si>
  <si>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</si>
  <si>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</si>
  <si>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</si>
  <si>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</si>
  <si>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</si>
  <si>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</si>
  <si>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</si>
  <si>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</si>
  <si>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</si>
  <si>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</si>
  <si>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</si>
  <si>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</si>
  <si>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</si>
  <si>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</si>
  <si>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</si>
  <si>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</si>
  <si>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</si>
  <si>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</si>
  <si>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</si>
  <si>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</si>
  <si>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</si>
  <si>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</si>
  <si>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</si>
  <si>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</si>
  <si>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</si>
  <si>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</si>
  <si>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</si>
  <si>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</si>
  <si>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</si>
  <si>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</si>
  <si>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</si>
  <si>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</si>
  <si>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</si>
  <si>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</si>
  <si>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</si>
  <si>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</si>
  <si>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</si>
  <si>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</si>
  <si>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</si>
  <si>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</si>
  <si>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</si>
  <si>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</si>
  <si>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</si>
  <si>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</si>
  <si>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</si>
  <si>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</si>
  <si>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</si>
  <si>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</si>
  <si>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</si>
  <si>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</si>
  <si>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</si>
  <si>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</si>
  <si>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</si>
  <si>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</si>
  <si>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</si>
  <si>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</si>
  <si>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</si>
  <si>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</si>
  <si>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</si>
  <si>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</si>
  <si>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</si>
  <si>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</si>
  <si>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</si>
  <si>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</si>
  <si>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</si>
  <si>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</si>
  <si>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</si>
  <si>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</si>
  <si>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</si>
  <si>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</si>
  <si>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</si>
  <si>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</si>
  <si>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</si>
  <si>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</si>
  <si>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</si>
  <si>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</si>
  <si>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</si>
  <si>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</si>
  <si>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</si>
  <si>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</si>
  <si>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</si>
  <si>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</si>
  <si>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</si>
  <si>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</si>
  <si>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</si>
  <si>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</si>
  <si>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</si>
  <si>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</si>
  <si>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</si>
  <si>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</si>
  <si>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</si>
  <si>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</si>
  <si>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</si>
  <si>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</si>
  <si>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</si>
  <si>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</si>
  <si>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</si>
  <si>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</si>
  <si>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</si>
  <si>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</si>
  <si>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</si>
  <si>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</si>
  <si>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</si>
  <si>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</si>
  <si>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</si>
  <si>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</si>
  <si>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</si>
  <si>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</si>
  <si>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</si>
  <si>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</si>
  <si>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</si>
  <si>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</si>
  <si>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</si>
  <si>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</si>
  <si>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</si>
  <si>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</si>
  <si>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</si>
  <si>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STANNOL GmbH &amp; Co. KG</t>
  </si>
  <si>
    <t>DUNS 319872305</t>
  </si>
  <si>
    <t>Haberstr. 24, 42551 Velbert, Germany</t>
  </si>
  <si>
    <t>Claudio Sündermann</t>
  </si>
  <si>
    <t>claudio.suendermann@stannol.de</t>
  </si>
  <si>
    <t>0049 2051 3120 143</t>
  </si>
  <si>
    <t>Abteilungsleiter Einkauf</t>
  </si>
  <si>
    <t>Is not intentionally added and is below a certain limit</t>
  </si>
  <si>
    <t>Sn is component of alloy / Zinn ist Legierungsbestandteil</t>
  </si>
  <si>
    <t>100%</t>
  </si>
  <si>
    <t>https://www.stannol.de/fileadmin/redakteur/download/gesetzliche-vorgaben/5-Richtlinien_Konfliktmineralien_DE.pdf
https://www.stannol.de/fileadmin/user_upload/Conflict_Minerals_Policy.pdf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</si>
</sst>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name val="Verdana"/>
      <family val="2"/>
      <charset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xf numFmtId="0" fontId="89" fillId="0" borderId="0"/>
    <xf numFmtId="0" fontId="10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3" xr:uid="{C28283F9-8716-4AB7-8934-73F7C0B42E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5" xfId="594" xr:uid="{B02C6709-B17F-4740-A36F-3884B211FF5B}"/>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laudio.suendermann@stanno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laudio.suendermann@stanno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7C2171F-5279-4FC0-837A-B98D0547AB5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9F4842B-2AE0-40B3-BE60-F3E1DE1FD7D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Schulung und Beratung, Vorlagen, Responsible Minerals Assurance Process, konforme Schmelzhütten Liste</v>
      </c>
      <c r="B1" s="97" t="s">
        <v>427</v>
      </c>
    </row>
    <row r="2" spans="1:2" ht="30">
      <c r="A2" s="102" t="str">
        <f ca="1">OFFSET(L!$C$1,MATCH("Instructions"&amp;ADDRESS(ROW(),COLUMN(),4),L!$A:$A,0)-1,SL,,)</f>
        <v>Einführung</v>
      </c>
      <c r="B2" s="97" t="s">
        <v>1258</v>
      </c>
    </row>
    <row r="3" spans="1:2" ht="165">
      <c r="A3" s="99"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97" t="s">
        <v>1259</v>
      </c>
    </row>
    <row r="4" spans="1:2" ht="222.6" customHeight="1">
      <c r="A4" s="99"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97" t="s">
        <v>1265</v>
      </c>
    </row>
    <row r="5" spans="1:2" ht="15">
      <c r="A5" s="103"/>
      <c r="B5" s="97"/>
    </row>
    <row r="6" spans="1:2" ht="30">
      <c r="A6" s="102" t="str">
        <f ca="1">OFFSET(L!$C$1,MATCH("Instructions"&amp;ADDRESS(ROW(),COLUMN(),4),L!$A:$A,0)-1,SL,,)</f>
        <v>Anleitung zum Ausfüllen von Informationen zu Unternehmen (Zeilen 8 - 22).  Die Kommentare nur in englischer Sprache.</v>
      </c>
      <c r="B6" s="97" t="s">
        <v>1258</v>
      </c>
    </row>
    <row r="7" spans="1:2" ht="15">
      <c r="A7" s="220" t="str">
        <f ca="1">OFFSET(L!$C$1,MATCH("Instructions"&amp;ADDRESS(ROW(),COLUMN(),4),L!$A:$A,0)-1,SL,,)</f>
        <v>Hinweis: Eingaben mit (*) sind Pflichtfelder</v>
      </c>
      <c r="B7" s="97"/>
    </row>
    <row r="8" spans="1:2" ht="30">
      <c r="A8" s="99" t="str">
        <f ca="1">OFFSET(L!$C$1,MATCH("Instructions"&amp;ADDRESS(ROW(),COLUMN(),4),L!$A:$A,0)-1,SL,,)</f>
        <v>1. Geben Sie hier den rechtmäßigen Firmennamen Ihres Unternehmens ein. Bitte verwenden Sie keine Abkürzungen. In diesem Feld haben Sie die Möglichkeit, weitere Geschäftsnamen, DBAs usw. hinzuzufügen.</v>
      </c>
      <c r="B8" s="97"/>
    </row>
    <row r="9" spans="1:2" ht="405.6" customHeight="1">
      <c r="A9" s="141"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97" t="s">
        <v>1257</v>
      </c>
    </row>
    <row r="10" spans="1:2" ht="36" customHeight="1">
      <c r="A10" s="99" t="str">
        <f ca="1">OFFSET(L!$C$1,MATCH("Instructions"&amp;ADDRESS(ROW(),COLUMN(),4),L!$A:$A,0)-1,SL,,)</f>
        <v>3.Geben sie ihre eindeutige Firmenidentifikationsnummer (DUNS Nummer, Steuernummer, Kunden-spezifische Kennung, etc.) ein</v>
      </c>
      <c r="B10" s="97"/>
    </row>
    <row r="11" spans="1:2" ht="35.25" customHeight="1">
      <c r="A11" s="99" t="str">
        <f ca="1">OFFSET(L!$C$1,MATCH("Instructions"&amp;ADDRESS(ROW(),COLUMN(),4),L!$A:$A,0)-1,SL,,)</f>
        <v>4. Geben Sie die Quelle für die eindeutige Kennung oder Code ( "DUNS",  "MWST","Kunde", etc. ) an.</v>
      </c>
      <c r="B11" s="97"/>
    </row>
    <row r="12" spans="1:2" ht="30">
      <c r="A12" s="99" t="str">
        <f ca="1">OFFSET(L!$C$1,MATCH("Instructions"&amp;ADDRESS(ROW(),COLUMN(),4),L!$A:$A,0)-1,SL,,)</f>
        <v>5. Geben Sie Ihre vollständige Firmenanschrift an (Straße, Stadt, Postleitzahl,  Bundesland).  Dieses Feld ist optional.</v>
      </c>
      <c r="B12" s="97" t="s">
        <v>1258</v>
      </c>
    </row>
    <row r="13" spans="1:2" ht="33.75" customHeight="1">
      <c r="A13" s="99" t="str">
        <f ca="1">OFFSET(L!$C$1,MATCH("Instructions"&amp;ADDRESS(ROW(),COLUMN(),4),L!$A:$A,0)-1,SL,,)</f>
        <v>6. Geben Sie den Namen der Kontaktperson zum Inhalt der Erklärung an. Dies ist ein obligatorisches Feld.</v>
      </c>
      <c r="B13" s="97"/>
    </row>
    <row r="14" spans="1:2" ht="30">
      <c r="A14" s="99"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97"/>
    </row>
    <row r="15" spans="1:2" ht="25.5" customHeight="1">
      <c r="A15" s="99" t="str">
        <f ca="1">OFFSET(L!$C$1,MATCH("Instructions"&amp;ADDRESS(ROW(),COLUMN(),4),L!$A:$A,0)-1,SL,,)</f>
        <v>8. Geben Sie die Telefonnummer des Kontakts an. Dies ist ein obligatorisches Feld.</v>
      </c>
      <c r="B15" s="97"/>
    </row>
    <row r="16" spans="1:2" ht="45">
      <c r="A16" s="99"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97"/>
    </row>
    <row r="17" spans="1:2" ht="15">
      <c r="A17" s="99" t="str">
        <f ca="1">OFFSET(L!$C$1,MATCH("Instructions"&amp;ADDRESS(ROW(),COLUMN(),4),L!$A:$A,0)-1,SL,,)</f>
        <v>10. Geben Sie den Titel für den Namen des Bevollmächtigten an. Dieses Feld ist optional.</v>
      </c>
      <c r="B17" s="97"/>
    </row>
    <row r="18" spans="1:2" ht="30">
      <c r="A18" s="99"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97"/>
    </row>
    <row r="19" spans="1:2" ht="15">
      <c r="A19" s="99" t="str">
        <f ca="1">OFFSET(L!$C$1,MATCH("Instructions"&amp;ADDRESS(ROW(),COLUMN(),4),L!$A:$A,0)-1,SL,,)</f>
        <v>12. Fügen Sie die Telefonnummer der freigabeberechtigten Person ein. Das Ausfüllen dieses Feldes ist freiwillig.</v>
      </c>
      <c r="B19" s="97"/>
    </row>
    <row r="20" spans="1:2" ht="33.75" customHeight="1">
      <c r="A20" s="99" t="str">
        <f ca="1">OFFSET(L!$C$1,MATCH("Instructions"&amp;ADDRESS(ROW(),COLUMN(),4),L!$A:$A,0)-1,SL,,)</f>
        <v>13. Bitte geben Sie das Datum der Fertigstellung für dieses Formblatt mit dem Format TT-MMM-JJJJ ein. Dies ist ein obligatorisches Feld.</v>
      </c>
      <c r="B20" s="97"/>
    </row>
    <row r="21" spans="1:2" ht="30">
      <c r="A21" s="99" t="str">
        <f ca="1">OFFSET(L!$C$1,MATCH("Instructions"&amp;ADDRESS(ROW(),COLUMN(),4),L!$A:$A,0)-1,SL,,)</f>
        <v>14. Zum Beispiel kann der Benutzer die Datei unter dem Namen speichern: companyname-datum.xls (Datum im Format JJJJ-MM-TT).</v>
      </c>
      <c r="B21" s="97" t="s">
        <v>1258</v>
      </c>
    </row>
    <row r="22" spans="1:2" ht="15">
      <c r="A22" s="103"/>
      <c r="B22" s="97"/>
    </row>
    <row r="23" spans="1:2" ht="30">
      <c r="A23" s="102" t="str">
        <f ca="1">OFFSET(L!$C$1,MATCH("Instructions"&amp;ADDRESS(ROW(),COLUMN(),4),L!$A:$A,0)-1,SL,,)</f>
        <v>Anweisungen zum Ausfüllen der acht Fragen zur Sorgfaltsprüfung (Zeilen 24 - 71).
Bitte geben Sie Ihre Antworten nur auf ENGLISCH</v>
      </c>
      <c r="B23" s="97" t="s">
        <v>1258</v>
      </c>
    </row>
    <row r="24" spans="1:2" ht="80.45" customHeight="1">
      <c r="A24" s="99"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97" t="s">
        <v>1261</v>
      </c>
    </row>
    <row r="25" spans="1:2" ht="72" customHeight="1">
      <c r="A25" s="99"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97" t="s">
        <v>1258</v>
      </c>
    </row>
    <row r="26" spans="1:2" ht="280.7" customHeight="1">
      <c r="A26" s="99"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97" t="s">
        <v>1258</v>
      </c>
    </row>
    <row r="27" spans="1:2" ht="30">
      <c r="A27" s="99" t="str">
        <f ca="1">OFFSET(L!$C$1,MATCH("Instructions"&amp;ADDRESS(ROW(),COLUMN(),4),L!$A:$A,0)-1,SL,,)</f>
        <v>Manche Unternehmen benötigen eine Begründung für eine "Nein" -Antwort im Kommentarfeld</v>
      </c>
      <c r="B27" s="97" t="s">
        <v>1258</v>
      </c>
    </row>
    <row r="28" spans="1:2" ht="247.5" customHeight="1">
      <c r="A28" s="99"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97"/>
    </row>
    <row r="29" spans="1:2" ht="157.35" customHeight="1">
      <c r="A29" s="99"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97" t="s">
        <v>1258</v>
      </c>
    </row>
    <row r="30" spans="1:2" ht="181.7" customHeight="1">
      <c r="A30" s="99"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97"/>
    </row>
    <row r="31" spans="1:2" ht="135">
      <c r="A31" s="99"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97" t="s">
        <v>1258</v>
      </c>
    </row>
    <row r="32" spans="1:2" ht="234.6" customHeight="1">
      <c r="A32" s="99"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97" t="s">
        <v>1261</v>
      </c>
    </row>
    <row r="33" spans="1:2" ht="75">
      <c r="A33" s="99"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97"/>
    </row>
    <row r="34" spans="1:2" ht="60">
      <c r="A34" s="99"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97" t="s">
        <v>1258</v>
      </c>
    </row>
    <row r="35" spans="1:2" ht="21" customHeight="1">
      <c r="A35" s="99" t="str">
        <f ca="1">OFFSET(L!$C$1,MATCH("Instructions"&amp;ADDRESS(ROW(),COLUMN(),4),L!$A:$A,0)-1,SL,,)</f>
        <v>Geben Sie, falls notwendig, Anmerkungen im Kommentarbereich ein, die für eine Klarstellung ihrer Antwort hilfreich sind.</v>
      </c>
      <c r="B35" s="97"/>
    </row>
    <row r="36" spans="1:2" ht="15">
      <c r="A36" s="103"/>
      <c r="B36" s="97"/>
    </row>
    <row r="37" spans="1:2" ht="45">
      <c r="A37" s="102"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97" t="s">
        <v>1258</v>
      </c>
    </row>
    <row r="38" spans="1:2" ht="135">
      <c r="A38" s="99"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97" t="s">
        <v>1260</v>
      </c>
    </row>
    <row r="39" spans="1:2" ht="60">
      <c r="A39" s="99"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97"/>
    </row>
    <row r="40" spans="1:2" ht="65.45" customHeight="1">
      <c r="A40" s="99"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97"/>
    </row>
    <row r="41" spans="1:2" ht="75">
      <c r="A41" s="99"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97" t="s">
        <v>1263</v>
      </c>
    </row>
    <row r="42" spans="1:2" ht="180">
      <c r="A42" s="99"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97" t="s">
        <v>1261</v>
      </c>
    </row>
    <row r="43" spans="1:2" ht="150">
      <c r="A43" s="99"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97" t="s">
        <v>1262</v>
      </c>
    </row>
    <row r="44" spans="1:2" ht="135">
      <c r="A44" s="99"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97" t="s">
        <v>1258</v>
      </c>
    </row>
    <row r="45" spans="1:2" ht="120">
      <c r="A45" s="99"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97" t="s">
        <v>1259</v>
      </c>
    </row>
    <row r="46" spans="1:2" ht="85.5" customHeight="1">
      <c r="A46" s="99"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97" t="s">
        <v>1258</v>
      </c>
    </row>
    <row r="47" spans="1:2" ht="15">
      <c r="A47" s="103"/>
      <c r="B47" s="97"/>
    </row>
    <row r="48" spans="1:2" ht="30">
      <c r="A48" s="102" t="str">
        <f ca="1">OFFSET(L!$C$1,MATCH("Instructions"&amp;ADDRESS(ROW(),COLUMN(),4),L!$A:$A,0)-1,SL,,)</f>
        <v>Anleitung zum Ausfüllen des Reiters "Smelter List". Bitte machen Sie ihre Angaben nur in englischer Sprache.</v>
      </c>
      <c r="B48" s="97" t="s">
        <v>1258</v>
      </c>
    </row>
    <row r="49" spans="1:2" ht="22.5" customHeight="1">
      <c r="A49" s="220" t="str">
        <f ca="1">OFFSET(L!$C$1,MATCH("Instructions"&amp;ADDRESS(ROW(),COLUMN(),4),L!$A:$A,0)-1,SL,,)</f>
        <v>Hinweis: Spalten mit (*) sind Pflichtfelder</v>
      </c>
      <c r="B49" s="97"/>
    </row>
    <row r="50" spans="1:2" ht="60">
      <c r="A50" s="99"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97" t="s">
        <v>1257</v>
      </c>
    </row>
    <row r="51" spans="1:2" ht="51" customHeight="1">
      <c r="A51" s="99"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97" t="s">
        <v>1258</v>
      </c>
    </row>
    <row r="52" spans="1:2" ht="44.45" customHeight="1">
      <c r="A52" s="99" t="str">
        <f ca="1">OFFSET(L!$C$1,MATCH("Instructions"&amp;ADDRESS(ROW(),COLUMN(),4),L!$A:$A,0)-1,SL,,)</f>
        <v>2.  Metall ( * ) - Verwenden Sie das Pull-down-Menü, um das Metall auszuwählen,  für welches Sie Informationen über die Schmelzhütte eingeben. Dies ist ein Pflichteingabefeld.</v>
      </c>
      <c r="B52" s="97"/>
    </row>
    <row r="53" spans="1:2" ht="78.95" customHeight="1">
      <c r="A53" s="149"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97" t="s">
        <v>1258</v>
      </c>
    </row>
    <row r="54" spans="1:2" ht="60">
      <c r="A54" s="99"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97" t="s">
        <v>1257</v>
      </c>
    </row>
    <row r="55" spans="1:2" ht="75">
      <c r="A55" s="99"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97" t="s">
        <v>1263</v>
      </c>
    </row>
    <row r="56" spans="1:2" ht="60">
      <c r="A56" s="99"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97" t="s">
        <v>1257</v>
      </c>
    </row>
    <row r="57" spans="1:2" ht="60">
      <c r="A57" s="99"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97" t="s">
        <v>1257</v>
      </c>
    </row>
    <row r="58" spans="1:2" ht="60">
      <c r="A58" s="99" t="str">
        <f ca="1">OFFSET(L!$C$1,MATCH("Instructions"&amp;ADDRESS(ROW(),COLUMN(),4),L!$A:$A,0)-1,SL,,)</f>
        <v>8. Straße der Schmelzhütte – Geben Sie den Straßennamen des Schmelzhüttenstandortes an. Das Ausfüllen dieses Feldes ist freiwillig.</v>
      </c>
      <c r="B58" s="97" t="s">
        <v>1257</v>
      </c>
    </row>
    <row r="59" spans="1:2" ht="30">
      <c r="A59" s="99" t="str">
        <f ca="1">OFFSET(L!$C$1,MATCH("Instructions"&amp;ADDRESS(ROW(),COLUMN(),4),L!$A:$A,0)-1,SL,,)</f>
        <v>9. Ort der Schmelzhütte – Geben Sie den Namen des Ortes an, in dem sich die Schmelzhütte befindet. Das Ausfüllen dieses Feldes ist freiwillig.</v>
      </c>
      <c r="B59" s="97" t="s">
        <v>1258</v>
      </c>
    </row>
    <row r="60" spans="1:2" ht="45" customHeight="1">
      <c r="A60" s="99" t="str">
        <f ca="1">OFFSET(L!$C$1,MATCH("Instructions"&amp;ADDRESS(ROW(),COLUMN(),4),L!$A:$A,0)-1,SL,,)</f>
        <v>10. Standort der Schmelzhütte: Ggf. Bundesland/Region/Provinz – Geben Sie das Bundesland oder die Region/Provinz des Schmelzhüttenstandortes an. Das Ausfüllen dieses Feldes ist freiwillig.</v>
      </c>
      <c r="B60" s="97" t="s">
        <v>1261</v>
      </c>
    </row>
    <row r="61" spans="1:2" ht="180">
      <c r="A61" s="99"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97" t="s">
        <v>1261</v>
      </c>
    </row>
    <row r="62" spans="1:2" ht="60">
      <c r="A62" s="99"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97" t="s">
        <v>1257</v>
      </c>
    </row>
    <row r="63" spans="1:2" ht="125.45" customHeight="1">
      <c r="A63" s="99"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97" t="s">
        <v>1257</v>
      </c>
    </row>
    <row r="64" spans="1:2" ht="136.35" customHeight="1">
      <c r="A64" s="99"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97"/>
    </row>
    <row r="65" spans="1:2" ht="90">
      <c r="A65" s="99"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97"/>
    </row>
    <row r="66" spans="1:2" ht="110.25" customHeight="1">
      <c r="A66" s="99" t="str">
        <f ca="1">OFFSET(L!$C$1,MATCH("Instructions"&amp;ADDRESS(ROW(),COLUMN(),4),L!$A:$A,0)-1,SL,,)</f>
        <v xml:space="preserve">16. Anmerkungen - geben Sie Ihre Anmerkungen zu den Schmelzhütten in das Textfeld ein. Beispiel: Smelter is being acquired by Company YYY </v>
      </c>
      <c r="B66" s="97"/>
    </row>
    <row r="67" spans="1:2" ht="15">
      <c r="A67" s="104"/>
      <c r="B67" s="97"/>
    </row>
    <row r="68" spans="1:2" ht="34.5" customHeight="1">
      <c r="A68" s="102" t="str">
        <f ca="1">OFFSET(L!$C$1,MATCH("Instructions"&amp;ADDRESS(ROW(),COLUMN(),4),L!$A:$A,0)-1,SL,,)</f>
        <v>Allgemeine Geschäftsbedingungen (AGB)</v>
      </c>
      <c r="B68" s="97"/>
    </row>
    <row r="69" spans="1:2" ht="15">
      <c r="A69" s="104"/>
      <c r="B69" s="97"/>
    </row>
    <row r="70" spans="1:2" ht="80.45" customHeight="1">
      <c r="A70" s="102"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97" t="s">
        <v>1258</v>
      </c>
    </row>
    <row r="71" spans="1:2" ht="93.6" customHeight="1">
      <c r="A71" s="220"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97" t="s">
        <v>1264</v>
      </c>
    </row>
    <row r="72" spans="1:2" ht="155.44999999999999" customHeight="1">
      <c r="A72" s="220"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97" t="s">
        <v>1262</v>
      </c>
    </row>
    <row r="73" spans="1:2" ht="75">
      <c r="A73" s="220"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Posten</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Zinn, Tantal, Wolfram, Gold</v>
      </c>
      <c r="D3" s="322"/>
      <c r="E3" s="97" t="s">
        <v>1266</v>
      </c>
    </row>
    <row r="4" spans="1:5" ht="63.75" customHeight="1">
      <c r="A4" s="71"/>
      <c r="B4" s="60" t="str">
        <f ca="1">OFFSET(L!$C$1,MATCH("Definitions"&amp;ADDRESS(ROW(),COLUMN(),4),L!$A:$A,0)-1,SL,,)</f>
        <v>Bevollmächtigter</v>
      </c>
      <c r="C4" s="60"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2"/>
      <c r="E4" s="97"/>
    </row>
    <row r="5" spans="1:5" ht="60">
      <c r="A5" s="71"/>
      <c r="B5" s="60" t="str">
        <f ca="1">OFFSET(L!$C$1,MATCH("Definitions"&amp;ADDRESS(ROW(),COLUMN(),4),L!$A:$A,0)-1,SL,,)</f>
        <v>Konflikt- und Hochrisikogebiete (CAHRA)</v>
      </c>
      <c r="C5" s="60"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2"/>
      <c r="E5" s="97"/>
    </row>
    <row r="6" spans="1:5" ht="151.35" customHeight="1">
      <c r="A6" s="71"/>
      <c r="B6" s="60" t="str">
        <f ca="1">OFFSET(L!$C$1,MATCH("Definitions"&amp;ADDRESS(ROW(),COLUMN(),4),L!$A:$A,0)-1,SL,,)</f>
        <v>Konfliktmineral</v>
      </c>
      <c r="C6" s="60"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2"/>
      <c r="E6" s="97" t="s">
        <v>1267</v>
      </c>
    </row>
    <row r="7" spans="1:5" ht="105.6" customHeight="1">
      <c r="A7" s="71"/>
      <c r="B7" s="60" t="str">
        <f ca="1">OFFSET(L!$C$1,MATCH("Definitions"&amp;ADDRESS(ROW(),COLUMN(),4),L!$A:$A,0)-1,SL,,)</f>
        <v>umfassendes Land(er)</v>
      </c>
      <c r="C7" s="60"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2"/>
      <c r="E7" s="97" t="s">
        <v>1267</v>
      </c>
    </row>
    <row r="8" spans="1:5" ht="135">
      <c r="A8" s="71"/>
      <c r="B8" s="60" t="str">
        <f ca="1">OFFSET(L!$C$1,MATCH("Definitions"&amp;ADDRESS(ROW(),COLUMN(),4),L!$A:$A,0)-1,SL,,)</f>
        <v>Erklärung Anwendungsbereich oder Klasse</v>
      </c>
      <c r="C8" s="60"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2"/>
      <c r="E8" s="97" t="s">
        <v>1270</v>
      </c>
    </row>
    <row r="9" spans="1:5" ht="60">
      <c r="A9" s="71"/>
      <c r="B9" s="60" t="str">
        <f ca="1">OFFSET(L!$C$1,MATCH("Definitions"&amp;ADDRESS(ROW(),COLUMN(),4),L!$A:$A,0)-1,SL,,)</f>
        <v>Dodd-Frank</v>
      </c>
      <c r="C9" s="60" t="str">
        <f ca="1">OFFSET(L!$C$1,MATCH("Definitions"&amp;ADDRESS(ROW(),COLUMN(),4),L!$A:$A,0)-1,SL,,)</f>
        <v>2010 US Gesetzgebung, Dodd-Frank-Walls Street Reform and Consumer Protection Art, Section 1502 ("Dodd-Frank") (http://www.sec.gov/about/laws/wallstreetreform-cpa.pdf)</v>
      </c>
      <c r="D9" s="322"/>
      <c r="E9" s="97" t="s">
        <v>1267</v>
      </c>
    </row>
    <row r="10" spans="1:5" ht="45">
      <c r="A10" s="71"/>
      <c r="B10" s="60" t="str">
        <f ca="1">OFFSET(L!$C$1,MATCH("Definitions"&amp;ADDRESS(ROW(),COLUMN(),4),L!$A:$A,0)-1,SL,,)</f>
        <v>DRK</v>
      </c>
      <c r="C10" s="60" t="str">
        <f ca="1">OFFSET(L!$C$1,MATCH("Definitions"&amp;ADDRESS(ROW(),COLUMN(),4),L!$A:$A,0)-1,SL,,)</f>
        <v>Demokratische Republik Kongo</v>
      </c>
      <c r="D10" s="322"/>
      <c r="E10" s="97" t="s">
        <v>1266</v>
      </c>
    </row>
    <row r="11" spans="1:5" ht="60" hidden="1">
      <c r="A11" s="71"/>
      <c r="B11" s="60" t="str">
        <f ca="1">OFFSET(L!$C$1,MATCH("Definitions"&amp;ADDRESS(ROW(),COLUMN(),4),L!$A:$A,0)-1,SL,,)</f>
        <v>DRK Konflikt-Frei</v>
      </c>
      <c r="C11" s="60"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2"/>
      <c r="E11" s="97" t="s">
        <v>1266</v>
      </c>
    </row>
    <row r="12" spans="1:5" ht="60">
      <c r="A12" s="71"/>
      <c r="B12" s="60" t="str">
        <f ca="1">OFFSET(L!$C$1,MATCH("Definitions"&amp;ADDRESS(ROW(),COLUMN(),4),L!$A:$A,0)-1,SL,,)</f>
        <v>Gold (Au) Raffinerie (Schmelzhutte)</v>
      </c>
      <c r="C12" s="60"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2"/>
      <c r="E12" s="97" t="s">
        <v>1266</v>
      </c>
    </row>
    <row r="13" spans="1:5" ht="107.25" customHeight="1">
      <c r="A13" s="71"/>
      <c r="B13" s="60" t="str">
        <f ca="1">OFFSET(L!$C$1,MATCH("Definitions"&amp;ADDRESS(ROW(),COLUMN(),4),L!$A:$A,0)-1,SL,,)</f>
        <v>Unabhängige Private Wirtschaftsprüfungsgesellschaft</v>
      </c>
      <c r="C13" s="60"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2"/>
      <c r="E13" s="97" t="s">
        <v>1268</v>
      </c>
    </row>
    <row r="14" spans="1:5" ht="285">
      <c r="A14" s="71"/>
      <c r="B14" s="60" t="str">
        <f ca="1">OFFSET(L!$C$1,MATCH("Definitions"&amp;ADDRESS(ROW(),COLUMN(),4),L!$A:$A,0)-1,SL,,)</f>
        <v>Absichtlich hinzugefügt</v>
      </c>
      <c r="C14" s="60"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2"/>
      <c r="E14" s="97" t="s">
        <v>1266</v>
      </c>
    </row>
    <row r="15" spans="1:5" ht="135">
      <c r="A15" s="71"/>
      <c r="B15" s="60" t="str">
        <f ca="1">OFFSET(L!$C$1,MATCH("Definitions"&amp;ADDRESS(ROW(),COLUMN(),4),L!$A:$A,0)-1,SL,,)</f>
        <v>IPC</v>
      </c>
      <c r="C15" s="60"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2"/>
      <c r="E15" s="97" t="s">
        <v>1266</v>
      </c>
    </row>
    <row r="16" spans="1:5" ht="60">
      <c r="A16" s="71"/>
      <c r="B16" s="60" t="str">
        <f ca="1">OFFSET(L!$C$1,MATCH("Definitions"&amp;ADDRESS(ROW(),COLUMN(),4),L!$A:$A,0)-1,SL,,)</f>
        <v>IPC-1755 Responsible Minerals Data Exchange Standard</v>
      </c>
      <c r="C16" s="60"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2"/>
      <c r="E16" s="97" t="s">
        <v>1266</v>
      </c>
    </row>
    <row r="17" spans="1:5" ht="180">
      <c r="A17" s="71"/>
      <c r="B17" s="60" t="str">
        <f ca="1">OFFSET(L!$C$1,MATCH("Definitions"&amp;ADDRESS(ROW(),COLUMN(),4),L!$A:$A,0)-1,SL,,)</f>
        <v>Erforderlich für die Funktionalität des Produkts</v>
      </c>
      <c r="C17" s="60"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2"/>
      <c r="E17" s="97" t="s">
        <v>1266</v>
      </c>
    </row>
    <row r="18" spans="1:5" ht="150">
      <c r="A18" s="71"/>
      <c r="B18" s="60" t="str">
        <f ca="1">OFFSET(L!$C$1,MATCH("Definitions"&amp;ADDRESS(ROW(),COLUMN(),4),L!$A:$A,0)-1,SL,,)</f>
        <v>Erforderlich für die Herstellung eines Produkt</v>
      </c>
      <c r="C18" s="60"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2"/>
      <c r="E18" s="97" t="s">
        <v>1266</v>
      </c>
    </row>
    <row r="19" spans="1:5" ht="15">
      <c r="A19" s="71"/>
      <c r="B19" s="60" t="str">
        <f ca="1">OFFSET(L!$C$1,MATCH("Definitions"&amp;ADDRESS(ROW(),COLUMN(),4),L!$A:$A,0)-1,SL,,)</f>
        <v>OECD</v>
      </c>
      <c r="C19" s="60" t="str">
        <f ca="1">OFFSET(L!$C$1,MATCH("Definitions"&amp;ADDRESS(ROW(),COLUMN(),4),L!$A:$A,0)-1,SL,,)</f>
        <v>Organisation für wirtschaftliche Zusammenarbeit und Entwicklung</v>
      </c>
      <c r="D19" s="322"/>
      <c r="E19" s="97"/>
    </row>
    <row r="20" spans="1:5" ht="45">
      <c r="A20" s="71"/>
      <c r="B20" s="60" t="str">
        <f ca="1">OFFSET(L!$C$1,MATCH("Definitions"&amp;ADDRESS(ROW(),COLUMN(),4),L!$A:$A,0)-1,SL,,)</f>
        <v>Produkt</v>
      </c>
      <c r="C20" s="60"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Recycling oder Schrott Quellen</v>
      </c>
      <c r="C22" s="60"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2"/>
      <c r="E22" s="97"/>
    </row>
    <row r="23" spans="1:5" ht="60">
      <c r="A23" s="71"/>
      <c r="B23" s="60" t="str">
        <f ca="1">OFFSET(L!$C$1,MATCH("Definitions"&amp;ADDRESS(ROW(),COLUMN(),4),L!$A:$A,0)-1,SL,,)</f>
        <v>Responsible Minerals Assurance Process (RMAP)</v>
      </c>
      <c r="C23" s="60"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2"/>
      <c r="E24" s="97"/>
    </row>
    <row r="25" spans="1:5" ht="177.6" customHeight="1">
      <c r="A25" s="71"/>
      <c r="B25" s="60" t="str">
        <f ca="1">OFFSET(L!$C$1,MATCH("Definitions"&amp;ADDRESS(ROW(),COLUMN(),4),L!$A:$A,0)-1,SL,,)</f>
        <v>RMAP Compliant Smelter Liste</v>
      </c>
      <c r="C25" s="60"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Schmelzhütte</v>
      </c>
      <c r="C27" s="60"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2"/>
      <c r="E27" s="97" t="s">
        <v>1266</v>
      </c>
    </row>
    <row r="28" spans="1:5" ht="60">
      <c r="A28" s="71"/>
      <c r="B28" s="60" t="str">
        <f ca="1">OFFSET(L!$C$1,MATCH("Definitions"&amp;ADDRESS(ROW(),COLUMN(),4),L!$A:$A,0)-1,SL,,)</f>
        <v>Schmelzhütte Id-Nummer</v>
      </c>
      <c r="C28" s="60"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2"/>
      <c r="E28" s="97" t="s">
        <v>1267</v>
      </c>
    </row>
    <row r="29" spans="1:5" ht="90">
      <c r="A29" s="71"/>
      <c r="B29" s="60" t="str">
        <f ca="1">OFFSET(L!$C$1,MATCH("Definitions"&amp;ADDRESS(ROW(),COLUMN(),4),L!$A:$A,0)-1,SL,,)</f>
        <v>Tantal (Ta) Schmelzhütte</v>
      </c>
      <c r="C29" s="60"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2"/>
      <c r="E29" s="97" t="s">
        <v>1268</v>
      </c>
    </row>
    <row r="30" spans="1:5" ht="135" customHeight="1">
      <c r="A30" s="71"/>
      <c r="B30" s="60" t="str">
        <f ca="1">OFFSET(L!$C$1,MATCH("Definitions"&amp;ADDRESS(ROW(),COLUMN(),4),L!$A:$A,0)-1,SL,,)</f>
        <v>Zinn (Sn) Schmelzhütte</v>
      </c>
      <c r="C30" s="60"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2"/>
      <c r="E30" s="97" t="s">
        <v>1269</v>
      </c>
    </row>
    <row r="31" spans="1:5" ht="132.94999999999999" customHeight="1">
      <c r="A31" s="71"/>
      <c r="B31" s="60" t="str">
        <f ca="1">OFFSET(L!$C$1,MATCH("Definitions"&amp;ADDRESS(ROW(),COLUMN(),4),L!$A:$A,0)-1,SL,,)</f>
        <v>Wolfram (W) Schmelzhütte</v>
      </c>
      <c r="C31" s="60"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9" zoomScalePageLayoutView="70" workbookViewId="0">
      <selection activeCell="G40" sqref="G40:J4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519</v>
      </c>
      <c r="E3" s="2"/>
      <c r="F3" s="358"/>
      <c r="G3" s="358"/>
      <c r="H3" s="358"/>
      <c r="I3" s="145"/>
      <c r="J3" s="135" t="s">
        <v>15370</v>
      </c>
      <c r="K3" s="33"/>
      <c r="L3" s="97"/>
      <c r="P3" s="42">
        <f>MATCH($D$3,LN,0)</f>
        <v>7</v>
      </c>
    </row>
    <row r="4" spans="1:34" ht="15.75">
      <c r="A4" s="31"/>
      <c r="B4" s="354" t="str">
        <f ca="1">OFFSET(L!$C$1,MATCH("Declaration"&amp;ADDRESS(ROW(),COLUMN(),4),L!$A:$A,0)-1,SL,,)</f>
        <v>Der Zweck dieses Dokuments ist die Erfassung von Beschaffungsinformationen für Zinn, Tantal, Wolfram und Gold, welche in Produkten genutzt werden.</v>
      </c>
      <c r="C4" s="354"/>
      <c r="D4" s="354"/>
      <c r="E4" s="354"/>
      <c r="F4" s="354"/>
      <c r="G4" s="354"/>
      <c r="H4" s="354"/>
      <c r="I4" s="359" t="str">
        <f ca="1">OFFSET(L!$C$1,MATCH("Declaration"&amp;ADDRESS(ROW(),COLUMN(),4),L!$A:$A,0)-1,SL,,)</f>
        <v>Link zu den Bedingungen</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Pflichtfelder sind mit einem Sternchen (*) gekennzeichnet.  Im Tab „Instruktionen“ finden Sie eine Anleitung zur Beantwortung aller Fragen.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Firmenangaben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Firmenname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Geltungsbereich der Erklärung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Beschreibung des Geltungsbereichs</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Eindeutige Unternehmenskennung:</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Zuständige Stelle im Unternehmen:</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Adresse:</v>
      </c>
      <c r="C14" s="74"/>
      <c r="D14" s="351" t="s">
        <v>15881</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Name des Ansprechpartners (*):</v>
      </c>
      <c r="C15" s="74"/>
      <c r="D15" s="351" t="s">
        <v>15882</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E-Mail-Adresse des Ansprechpartners (*):</v>
      </c>
      <c r="C16" s="74"/>
      <c r="D16" s="366" t="s">
        <v>15883</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Telefonnummer des Ansprechpartners (*):</v>
      </c>
      <c r="C17" s="74"/>
      <c r="D17" s="351" t="s">
        <v>15884</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Bevollmächtigter (*):</v>
      </c>
      <c r="C18" s="74"/>
      <c r="D18" s="384" t="s">
        <v>15882</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Titel des Bevollmächtigten:</v>
      </c>
      <c r="C19" s="74"/>
      <c r="D19" s="351" t="s">
        <v>15885</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E-Mail-Adresse des Bevollmächtigten (*):</v>
      </c>
      <c r="C20" s="74"/>
      <c r="D20" s="366" t="s">
        <v>15883</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Telefonnummer des Bevollmächtigten:</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Datum (*):</v>
      </c>
      <c r="C22" s="75"/>
      <c r="D22" s="329">
        <v>46199</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Beantworten Sie die Fragen 1 - 8 entsprechend dem oben angegebenen Geltungsbereich</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Wird absichtlich ein 3TG-Mineral im Herstellungsprozess verwendet oder in das/die Produkt(e) aufgenommen? (*)</v>
      </c>
      <c r="C25" s="16"/>
      <c r="D25" s="338" t="str">
        <f ca="1">OFFSET(L!$C$1,MATCH("Declaration"&amp;ADDRESS(ROW(),COLUMN(),4),L!$A:$A,0)-1,SL,,)</f>
        <v>Antwort</v>
      </c>
      <c r="E25" s="338"/>
      <c r="F25" s="17"/>
      <c r="G25" s="41" t="str">
        <f ca="1">OFFSET(L!$C$1,MATCH("Declaration"&amp;ADDRESS(ROW(),COLUMN(),4),L!$A:$A,0)-1,SL,,)</f>
        <v>Kommentare</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Zinn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t="s">
        <v>15886</v>
      </c>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Wolfram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Liegen in dem/den Produkt(en) 3TG-Rückstände vor?  (*)</v>
      </c>
      <c r="C31" s="9"/>
      <c r="D31" s="332" t="str">
        <f ca="1">D25</f>
        <v>Antwort</v>
      </c>
      <c r="E31" s="332"/>
      <c r="F31" s="17"/>
      <c r="G31" s="41" t="str">
        <f ca="1">G25</f>
        <v>Kommentare</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Zinn  (*)</v>
      </c>
      <c r="C33" s="9"/>
      <c r="D33" s="327" t="s">
        <v>473</v>
      </c>
      <c r="E33" s="328"/>
      <c r="F33" s="44"/>
      <c r="G33" s="335" t="s">
        <v>15887</v>
      </c>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Wolfram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Beschaffen Schmelzhütten in Ihrer Lieferkette das 3TG-Mineral aus den umfassten Ländern? (SEC-Begriff, siehe Definitions-Tab) (*)</v>
      </c>
      <c r="C37" s="9"/>
      <c r="D37" s="332" t="str">
        <f ca="1">D25</f>
        <v>Antwort</v>
      </c>
      <c r="E37" s="332"/>
      <c r="F37" s="17"/>
      <c r="G37" s="41" t="str">
        <f ca="1">G25</f>
        <v>Kommentare</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Zinn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Wolfram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Beziehen Schmelzhütten in Ihrer Lieferkette ihre 3TG aus von Konflikten betroffenen und risikoreichen Gebieten? (*)</v>
      </c>
      <c r="C43" s="9"/>
      <c r="D43" s="332" t="str">
        <f ca="1">D25</f>
        <v>Antwort</v>
      </c>
      <c r="E43" s="332"/>
      <c r="F43" s="17"/>
      <c r="G43" s="41" t="str">
        <f ca="1">G25</f>
        <v>Kommentare</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Zinn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Wolfram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Stammt das für die Funktionalität oder  Herstellung Ihrer Produkte benötigte 3TG-Mineral zu 100 % aus Recycling- oder Schrottquellen?  (*)</v>
      </c>
      <c r="C49" s="9"/>
      <c r="D49" s="332" t="str">
        <f ca="1">D25</f>
        <v>Antwort</v>
      </c>
      <c r="E49" s="332"/>
      <c r="F49" s="17"/>
      <c r="G49" s="41" t="str">
        <f ca="1">G25</f>
        <v>Kommentare</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Zinn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Wolfram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Wie hoch ist der Prozentsatz an Lieferanten, die auf Ihre Lieferkettenumfrage geantwortet haben? (*)</v>
      </c>
      <c r="C55" s="9"/>
      <c r="D55" s="332" t="str">
        <f ca="1">D25</f>
        <v>Antwort</v>
      </c>
      <c r="E55" s="332"/>
      <c r="F55" s="17"/>
      <c r="G55" s="41" t="str">
        <f ca="1">G25</f>
        <v>Kommentare</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Zinn  (*)</v>
      </c>
      <c r="C57" s="32"/>
      <c r="D57" s="369" t="s">
        <v>15888</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Wolfram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Haben Sie alle Schmelzhütten ermittelt, die das 3TG-Mineral für Ihre Lieferkette bereitstellen?  (*)</v>
      </c>
      <c r="C61" s="9"/>
      <c r="D61" s="332" t="str">
        <f ca="1">D25</f>
        <v>Antwort</v>
      </c>
      <c r="E61" s="332"/>
      <c r="F61" s="17"/>
      <c r="G61" s="41" t="str">
        <f ca="1">G25</f>
        <v>Kommentare</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Zinn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Wolfram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Haben Sie alle relevanten Informationen, die Ihr Unternehmen zu den Schmelzhütten erhalten hat, in dieser Erklärung aufgeführt?  (*)</v>
      </c>
      <c r="C67" s="9"/>
      <c r="D67" s="332" t="str">
        <f ca="1">D25</f>
        <v>Antwort</v>
      </c>
      <c r="E67" s="332"/>
      <c r="F67" s="17"/>
      <c r="G67" s="41" t="str">
        <f ca="1">G25</f>
        <v>Kommentare</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Zinn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Wolfram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Beantworten Sie folgende Fragen auf Firmenebene</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Frage</v>
      </c>
      <c r="C74" s="78"/>
      <c r="D74" s="338" t="str">
        <f ca="1">D25</f>
        <v>Antwort</v>
      </c>
      <c r="E74" s="338"/>
      <c r="F74" s="50"/>
      <c r="G74" s="338" t="str">
        <f ca="1">G25</f>
        <v>Kommentare</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Haben Sie eine konfliktfreie Beschaffungsrichtlinie für Mineralien erstellt?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Ist Ihre konfliktfreie Beschaffungsrichtlinie für Mineralien auf Ihrer Website einsehbar? (Hinweis - Wenn „Ja“, sollte der Benutzer die URL im Anmerkungsfeld angeben.) (*)</v>
      </c>
      <c r="C77" s="54"/>
      <c r="D77" s="327" t="s">
        <v>473</v>
      </c>
      <c r="E77" s="328"/>
      <c r="F77" s="54"/>
      <c r="G77" s="339" t="s">
        <v>15889</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Verlangen Sie von Ihren direkten Lieferanten, das 3TG-Mineral ausschließlich von Schmelzhütten zu beziehen, deren Sorgfaltspflichts-Praktiken von einer unabhängigen Instanz überprüft wurden?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Haben Sie Sorgfaltspflichtmaßnahmen für die konfliktfreie Beschaffung in Kraft gesetzt?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Veranstaltet Ihr Unternehmen (eine) Konfliktmineralienumfrage(n) mit seinen entsprechenden Lieferanten?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Überprüfen Sie die Sorgfaltspflichts-Informationen, die Sie von ihren Lieferanten erhalten, anhand der Erwartungen Ihres Unternehmens?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Sieht Ihr Review-Prozess ein Korrekturmaßnahmen-Management vor?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Ist Ihr Unternehmen zu einer jährlichen Offenlegung der Konfliktmineralien verpflichtet?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5946C210-06FE-42A1-970B-B346A16E8E17}"/>
    <hyperlink ref="D16" r:id="rId4" xr:uid="{353181F5-1AFA-44B6-A83E-F8D19B41D42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0" zoomScaleNormal="100" zoomScalePageLayoutView="55" workbookViewId="0">
      <selection activeCell="D50" sqref="D50"/>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UM ZU BEGINNEN:</v>
      </c>
      <c r="C2" s="156"/>
      <c r="D2" s="156"/>
      <c r="E2" s="156"/>
      <c r="F2" s="177"/>
      <c r="G2" s="177"/>
      <c r="H2" s="177"/>
      <c r="I2" s="178"/>
      <c r="J2" s="388" t="str">
        <f ca="1">OFFSET(L!$C$1,MATCH("Smelter List"&amp;ADDRESS(ROW(),COLUMN(),4),L!$A:$A,0)-1,SL,,)</f>
        <v>Link zur "RMAP Conformant Smelter"- Liste</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 xml:space="preserve">Eingabespalte Schmelzhüttenidentifizierungsnummer </v>
      </c>
      <c r="B4" s="199" t="str">
        <f ca="1">OFFSET(L!$C$1,MATCH("Smelter List"&amp;ADDRESS(ROW(),COLUMN(),4),L!$A:$A,0)-1,SL,,)</f>
        <v>Metall (1)</v>
      </c>
      <c r="C4" s="199" t="str">
        <f ca="1">OFFSET(L!$C$1,MATCH("Smelter List"&amp;ADDRESS(ROW(),COLUMN(),4),L!$A:$A,0)-1,SL,,)</f>
        <v>Schmelzhüttensuche (*)</v>
      </c>
      <c r="D4" s="199" t="str">
        <f ca="1">OFFSET(L!$C$1,MATCH("Smelter List"&amp;ADDRESS(ROW(),COLUMN(),4),L!$A:$A,0)-1,SL,,)</f>
        <v>Schmelzhüttenname (1)</v>
      </c>
      <c r="E4" s="199" t="str">
        <f ca="1">OFFSET(L!$C$1,MATCH("Smelter List"&amp;ADDRESS(ROW(),COLUMN(),4),L!$A:$A,0)-1,SL,,)</f>
        <v>Schmelzhütten: Land (*)</v>
      </c>
      <c r="F4" s="199" t="str">
        <f ca="1">OFFSET(L!$C$1,MATCH("Smelter List"&amp;ADDRESS(ROW(),COLUMN(),4),L!$A:$A,0)-1,SL,,)</f>
        <v>Schmelzhütte Identifizierung</v>
      </c>
      <c r="G4" s="199" t="str">
        <f ca="1">OFFSET(L!$C$1,MATCH("Smelter List"&amp;ADDRESS(ROW(),COLUMN(),4),L!$A:$A,0)-1,SL,,)</f>
        <v>Quelle der Schmelzhütte Id-Nummer</v>
      </c>
      <c r="H4" s="139" t="str">
        <f ca="1">OFFSET(L!$C$1,MATCH("Smelter List"&amp;ADDRESS(ROW(),COLUMN(),4),L!$A:$A,0)-1,SL,,)</f>
        <v>Schmelzhütten: Straße</v>
      </c>
      <c r="I4" s="139" t="str">
        <f ca="1">OFFSET(L!$C$1,MATCH("Smelter List"&amp;ADDRESS(ROW(),COLUMN(),4),L!$A:$A,0)-1,SL,,)</f>
        <v>Schmelzhütten: Stadt</v>
      </c>
      <c r="J4" s="139" t="str">
        <f ca="1">OFFSET(L!$C$1,MATCH("Smelter List"&amp;ADDRESS(ROW(),COLUMN(),4),L!$A:$A,0)-1,SL,,)</f>
        <v>Schmelzhütten: Bundesland/Provinz</v>
      </c>
      <c r="K4" s="139" t="str">
        <f ca="1">OFFSET(L!$C$1,MATCH("Smelter List"&amp;ADDRESS(ROW(),COLUMN(),4),L!$A:$A,0)-1,SL,,)</f>
        <v xml:space="preserve">Schmelzhütten-Ansprechpartner: Name </v>
      </c>
      <c r="L4" s="139" t="str">
        <f ca="1">OFFSET(L!$C$1,MATCH("Smelter List"&amp;ADDRESS(ROW(),COLUMN(),4),L!$A:$A,0)-1,SL,,)</f>
        <v>Schmelzhütten-Ansprechpartner: E-mail</v>
      </c>
      <c r="M4" s="139" t="str">
        <f ca="1">OFFSET(L!$C$1,MATCH("Smelter List"&amp;ADDRESS(ROW(),COLUMN(),4),L!$A:$A,0)-1,SL,,)</f>
        <v>Vorgeschlagenen nächsten Schritte</v>
      </c>
      <c r="N4" s="139" t="str">
        <f ca="1">OFFSET(L!$C$1,MATCH("Smelter List"&amp;ADDRESS(ROW(),COLUMN(),4),L!$A:$A,0)-1,SL,,)</f>
        <v>Name der Mine(n) oder falls aus Recycling oder Schrott, tragen Sie "recycled" oder "Schrott" ein</v>
      </c>
      <c r="O4" s="139" t="str">
        <f ca="1">OFFSET(L!$C$1,MATCH("Smelter List"&amp;ADDRESS(ROW(),COLUMN(),4),L!$A:$A,0)-1,SL,,)</f>
        <v>Standort (Land) von Minen, falls aus Recycling oder Schrott gekauft, geben Sie "recycled" oder "Schrott" ein</v>
      </c>
      <c r="P4" s="139" t="str">
        <f ca="1">OFFSET(L!$C$1,MATCH("Smelter List"&amp;ADDRESS(ROW(),COLUMN(),4),L!$A:$A,0)-1,SL,,)</f>
        <v>Stammen 100% der Ausgangsstoffe der Schmelzhütte aus Recycling oder Schrott?</v>
      </c>
      <c r="Q4" s="140" t="str">
        <f ca="1">OFFSET(L!$C$1,MATCH("Smelter List"&amp;ADDRESS(ROW(),COLUMN(),4),L!$A:$A,0)-1,SL,,)</f>
        <v>Kommentare</v>
      </c>
      <c r="R4" s="199" t="s">
        <v>11971</v>
      </c>
      <c r="S4" s="199" t="s">
        <v>11958</v>
      </c>
      <c r="T4" s="199" t="s">
        <v>11959</v>
      </c>
      <c r="U4" s="184"/>
      <c r="W4" s="152" t="s">
        <v>1278</v>
      </c>
      <c r="X4" s="152" t="s">
        <v>901</v>
      </c>
      <c r="AH4" s="140" t="s">
        <v>475</v>
      </c>
    </row>
    <row r="5" spans="1:34" s="210" customFormat="1" ht="20.100000000000001" customHeight="1">
      <c r="A5" s="245" t="s">
        <v>2175</v>
      </c>
      <c r="B5" s="166" t="str">
        <f ca="1">IF(LEN(A5)=0,"",INDEX('Smelter Look-up'!$A:$A,MATCH($A5,'Smelter Look-up'!$E:$E,0)))</f>
        <v>Tin</v>
      </c>
      <c r="C5" s="170" t="str">
        <f ca="1">IF(LEN(A5)=0,"",INDEX('Smelter Look-up'!$C:$C,MATCH($A5,'Smelter Look-up'!$E:$E,0)))</f>
        <v>Chenzhou Yunxiang Mining and Metallurgy Co., Ltd.</v>
      </c>
      <c r="D5" s="213"/>
      <c r="E5" s="166" t="str">
        <f ca="1">IF(ISERROR($V5),"",OFFSET('Smelter Look-up'!$D$4,$V5-4,0)&amp;"")</f>
        <v>CHINA</v>
      </c>
      <c r="F5" s="166" t="str">
        <f ca="1">IF(ISERROR($V5),"",OFFSET('Smelter Look-up'!$E$4,$V5-4,0))</f>
        <v>CID000228</v>
      </c>
      <c r="G5" s="166" t="str">
        <f ca="1">IF(C5=$X$4,IF(ISERROR($V5),"Enter smelter details","RMI"),IF(ISERROR($V5),"",OFFSET('Smelter Look-up'!$F$4,$V5-4,0)))</f>
        <v>RMI</v>
      </c>
      <c r="H5" s="167">
        <f ca="1">IF(ISERROR($V5),"",OFFSET('Smelter Look-up'!$G$4,$V5-4,0))</f>
        <v>0</v>
      </c>
      <c r="I5" s="168" t="str">
        <f ca="1">IF(ISERROR($V5),"",OFFSET('Smelter Look-up'!$H$4,$V5-4,0))</f>
        <v>Chenzhou</v>
      </c>
      <c r="J5" s="168" t="str">
        <f ca="1">IF(ISERROR($V5),"",OFFSET('Smelter Look-up'!$I$4,$V5-4,0))</f>
        <v>Hunan Sheng</v>
      </c>
      <c r="K5" s="207"/>
      <c r="L5" s="207"/>
      <c r="M5" s="207"/>
      <c r="N5" s="207"/>
      <c r="O5" s="207"/>
      <c r="P5" s="169"/>
      <c r="Q5" s="208"/>
      <c r="R5" s="166" t="str">
        <f ca="1">IF(ISERROR($V5),"",OFFSET('Smelter Look-up'!$C$4,$V5-4,0)&amp;"")</f>
        <v>Chenzhou Yunxiang Mining and Metallurgy Co., Ltd.</v>
      </c>
      <c r="S5" s="165" t="str">
        <f ca="1">IF(B5="","",IF(ISERROR(MATCH($E5,CL,0)),"Unknown",INDIRECT("'C'!$A$"&amp;MATCH($E5,CL,0)+1)))</f>
        <v>CN</v>
      </c>
      <c r="T5" s="165" t="str">
        <f ca="1">IF(B5="","",IF(ISERROR(MATCH($J5,SorP!$B$1:$B$6261,0)),"",INDIRECT("'SorP'!$A$"&amp;MATCH($S5&amp;$J5,SorP!C:C,0))))</f>
        <v>CN-HN</v>
      </c>
      <c r="U5" s="185"/>
      <c r="V5" s="209">
        <f ca="1">IF(C5="",NA(),IF(OR(C5="Smelter not listed",C5="Smelter not yet identified"),MATCH($B5&amp;$D5,'Smelter Look-up'!$J:$J,0),MATCH($B5&amp;$C5,'Smelter Look-up'!$J:$J,0)))</f>
        <v>428</v>
      </c>
      <c r="X5" s="210">
        <f t="shared" ref="X5" ca="1" si="0">IF(AND(C5="Smelter not listed",OR(LEN(D5)=0,LEN(E5)=0)),1,0)</f>
        <v>0</v>
      </c>
      <c r="AB5" s="211" t="str">
        <f t="shared" ref="AB5" ca="1" si="1">B5&amp;C5</f>
        <v>TinChenzhou Yunxiang Mining and Metallurgy Co., Ltd.</v>
      </c>
    </row>
    <row r="6" spans="1:34" s="210" customFormat="1" ht="20.100000000000001" customHeight="1">
      <c r="A6" s="245" t="s">
        <v>735</v>
      </c>
      <c r="B6" s="166" t="str">
        <f ca="1">IF(LEN(A6)=0,"",INDEX('Smelter Look-up'!$A:$A,MATCH($A6,'Smelter Look-up'!$E:$E,0)))</f>
        <v>Tin</v>
      </c>
      <c r="C6" s="170" t="str">
        <f ca="1">IF(LEN(A6)=0,"",INDEX('Smelter Look-up'!$C:$C,MATCH($A6,'Smelter Look-up'!$E:$E,0)))</f>
        <v>Alpha Assembly Solutions Inc</v>
      </c>
      <c r="D6" s="213"/>
      <c r="E6" s="166" t="str">
        <f ca="1">IF(ISERROR($V6),"",OFFSET('Smelter Look-up'!$D$4,$V6-4,0)&amp;"")</f>
        <v>UNITED STATES OF AMERICA</v>
      </c>
      <c r="F6" s="166" t="str">
        <f ca="1">IF(ISERROR($V6),"",OFFSET('Smelter Look-up'!$E$4,$V6-4,0))</f>
        <v>CID000292</v>
      </c>
      <c r="G6" s="166" t="str">
        <f ca="1">IF(C6=$X$4,IF(ISERROR($V6),"Enter smelter details","RMI"),IF(ISERROR($V6),"",OFFSET('Smelter Look-up'!$F$4,$V6-4,0)))</f>
        <v>RMI</v>
      </c>
      <c r="H6" s="167">
        <f ca="1">IF(ISERROR($V6),"",OFFSET('Smelter Look-up'!$G$4,$V6-4,0))</f>
        <v>0</v>
      </c>
      <c r="I6" s="168" t="str">
        <f ca="1">IF(ISERROR($V6),"",OFFSET('Smelter Look-up'!$H$4,$V6-4,0))</f>
        <v>Altoona</v>
      </c>
      <c r="J6" s="168" t="str">
        <f ca="1">IF(ISERROR($V6),"",OFFSET('Smelter Look-up'!$I$4,$V6-4,0))</f>
        <v>Pennsylvania</v>
      </c>
      <c r="K6" s="207"/>
      <c r="L6" s="207"/>
      <c r="M6" s="207"/>
      <c r="N6" s="207"/>
      <c r="O6" s="207"/>
      <c r="P6" s="169"/>
      <c r="Q6" s="208"/>
      <c r="R6" s="166" t="str">
        <f ca="1">IF(ISERROR($V6),"",OFFSET('Smelter Look-up'!$C$4,$V6-4,0)&amp;"")</f>
        <v>Alpha Assembly Solutions Inc</v>
      </c>
      <c r="S6" s="165" t="str">
        <f t="shared" ref="S6:S37" ca="1" si="2">IF(B6="","",IF(ISERROR(MATCH($E6,CL,0)),"Unknown",INDIRECT("'C'!$A$"&amp;MATCH($E6,CL,0)+1)))</f>
        <v>US</v>
      </c>
      <c r="T6" s="165" t="str">
        <f ca="1">IF(B6="","",IF(ISERROR(MATCH($J6,SorP!$B$1:$B$6261,0)),"",INDIRECT("'SorP'!$A$"&amp;MATCH($S6&amp;$J6,SorP!C:C,0))))</f>
        <v>US-PA</v>
      </c>
      <c r="U6" s="185"/>
      <c r="V6" s="209">
        <f ca="1">IF(C6="",NA(),IF(OR(C6="Smelter not listed",C6="Smelter not yet identified"),MATCH($B6&amp;$D6,'Smelter Look-up'!$J:$J,0),MATCH($B6&amp;$C6,'Smelter Look-up'!$J:$J,0)))</f>
        <v>418</v>
      </c>
      <c r="X6" s="210">
        <f t="shared" ref="X6:X37" ca="1" si="3">IF(AND(C6="Smelter not listed",OR(LEN(D6)=0,LEN(E6)=0)),1,0)</f>
        <v>0</v>
      </c>
      <c r="AB6" s="211" t="str">
        <f t="shared" ref="AB6:AB37" ca="1" si="4">B6&amp;C6</f>
        <v>TinAlpha Assembly Solutions Inc</v>
      </c>
    </row>
    <row r="7" spans="1:34" s="210" customFormat="1" ht="20.100000000000001" customHeight="1">
      <c r="A7" s="245" t="s">
        <v>14902</v>
      </c>
      <c r="B7" s="166" t="str">
        <f ca="1">IF(LEN(A7)=0,"",INDEX('Smelter Look-up'!$A:$A,MATCH($A7,'Smelter Look-up'!$E:$E,0)))</f>
        <v>Tin</v>
      </c>
      <c r="C7" s="170" t="str">
        <f ca="1">IF(LEN(A7)=0,"",INDEX('Smelter Look-up'!$C:$C,MATCH($A7,'Smelter Look-up'!$E:$E,0)))</f>
        <v>PT Premium Tin Indonesia</v>
      </c>
      <c r="D7" s="213"/>
      <c r="E7" s="166" t="str">
        <f ca="1">IF(ISERROR($V7),"",OFFSET('Smelter Look-up'!$D$4,$V7-4,0)&amp;"")</f>
        <v>INDONESIA</v>
      </c>
      <c r="F7" s="166" t="str">
        <f ca="1">IF(ISERROR($V7),"",OFFSET('Smelter Look-up'!$E$4,$V7-4,0))</f>
        <v>CID000313</v>
      </c>
      <c r="G7" s="166" t="str">
        <f ca="1">IF(C7=$X$4,IF(ISERROR($V7),"Enter smelter details","RMI"),IF(ISERROR($V7),"",OFFSET('Smelter Look-up'!$F$4,$V7-4,0)))</f>
        <v>RMI</v>
      </c>
      <c r="H7" s="167">
        <f ca="1">IF(ISERROR($V7),"",OFFSET('Smelter Look-up'!$G$4,$V7-4,0))</f>
        <v>0</v>
      </c>
      <c r="I7" s="168" t="str">
        <f ca="1">IF(ISERROR($V7),"",OFFSET('Smelter Look-up'!$H$4,$V7-4,0))</f>
        <v>Pangkalan Baru</v>
      </c>
      <c r="J7" s="168" t="str">
        <f ca="1">IF(ISERROR($V7),"",OFFSET('Smelter Look-up'!$I$4,$V7-4,0))</f>
        <v>Kepulauan Bangka Belitung</v>
      </c>
      <c r="K7" s="207"/>
      <c r="L7" s="207"/>
      <c r="M7" s="207"/>
      <c r="N7" s="207"/>
      <c r="O7" s="207"/>
      <c r="P7" s="169"/>
      <c r="Q7" s="208"/>
      <c r="R7" s="166" t="str">
        <f ca="1">IF(ISERROR($V7),"",OFFSET('Smelter Look-up'!$C$4,$V7-4,0)&amp;"")</f>
        <v>PT Premium Tin Indonesia</v>
      </c>
      <c r="S7" s="165" t="str">
        <f t="shared" ca="1" si="2"/>
        <v>ID</v>
      </c>
      <c r="T7" s="165" t="str">
        <f ca="1">IF(B7="","",IF(ISERROR(MATCH($J7,SorP!$B$1:$B$6261,0)),"",INDIRECT("'SorP'!$A$"&amp;MATCH($S7&amp;$J7,SorP!C:C,0))))</f>
        <v>ID-BB</v>
      </c>
      <c r="U7" s="185"/>
      <c r="V7" s="209">
        <f ca="1">IF(C7="",NA(),IF(OR(C7="Smelter not listed",C7="Smelter not yet identified"),MATCH($B7&amp;$D7,'Smelter Look-up'!$J:$J,0),MATCH($B7&amp;$C7,'Smelter Look-up'!$J:$J,0)))</f>
        <v>526</v>
      </c>
      <c r="X7" s="210">
        <f t="shared" ca="1" si="3"/>
        <v>0</v>
      </c>
      <c r="AB7" s="211" t="str">
        <f t="shared" ca="1" si="4"/>
        <v>TinPT Premium Tin Indonesia</v>
      </c>
    </row>
    <row r="8" spans="1:34" s="210" customFormat="1" ht="20.100000000000001" customHeight="1">
      <c r="A8" s="245" t="s">
        <v>15237</v>
      </c>
      <c r="B8" s="166" t="str">
        <f ca="1">IF(LEN(A8)=0,"",INDEX('Smelter Look-up'!$A:$A,MATCH($A8,'Smelter Look-up'!$E:$E,0)))</f>
        <v>Tin</v>
      </c>
      <c r="C8" s="170" t="str">
        <f ca="1">IF(LEN(A8)=0,"",INDEX('Smelter Look-up'!$C:$C,MATCH($A8,'Smelter Look-up'!$E:$E,0)))</f>
        <v>Dongguan Best Alloys Co., Ltd.</v>
      </c>
      <c r="D8" s="213"/>
      <c r="E8" s="166" t="str">
        <f ca="1">IF(ISERROR($V8),"",OFFSET('Smelter Look-up'!$D$4,$V8-4,0)&amp;"")</f>
        <v>CHINA</v>
      </c>
      <c r="F8" s="166" t="str">
        <f ca="1">IF(ISERROR($V8),"",OFFSET('Smelter Look-up'!$E$4,$V8-4,0))</f>
        <v>CID000377</v>
      </c>
      <c r="G8" s="166" t="str">
        <f ca="1">IF(C8=$X$4,IF(ISERROR($V8),"Enter smelter details","RMI"),IF(ISERROR($V8),"",OFFSET('Smelter Look-up'!$F$4,$V8-4,0)))</f>
        <v>RMI</v>
      </c>
      <c r="H8" s="167">
        <f ca="1">IF(ISERROR($V8),"",OFFSET('Smelter Look-up'!$G$4,$V8-4,0))</f>
        <v>0</v>
      </c>
      <c r="I8" s="168" t="str">
        <f ca="1">IF(ISERROR($V8),"",OFFSET('Smelter Look-up'!$H$4,$V8-4,0))</f>
        <v>Dongguan City</v>
      </c>
      <c r="J8" s="168" t="str">
        <f ca="1">IF(ISERROR($V8),"",OFFSET('Smelter Look-up'!$I$4,$V8-4,0))</f>
        <v>Guangdong Sheng</v>
      </c>
      <c r="K8" s="207"/>
      <c r="L8" s="207"/>
      <c r="M8" s="207"/>
      <c r="N8" s="207"/>
      <c r="O8" s="207"/>
      <c r="P8" s="169"/>
      <c r="Q8" s="208"/>
      <c r="R8" s="166" t="str">
        <f ca="1">IF(ISERROR($V8),"",OFFSET('Smelter Look-up'!$C$4,$V8-4,0)&amp;"")</f>
        <v>Dongguan Best Alloys Co., Ltd.</v>
      </c>
      <c r="S8" s="165" t="str">
        <f t="shared" ca="1" si="2"/>
        <v>CN</v>
      </c>
      <c r="T8" s="165" t="str">
        <f ca="1">IF(B8="","",IF(ISERROR(MATCH($J8,SorP!$B$1:$B$6261,0)),"",INDIRECT("'SorP'!$A$"&amp;MATCH($S8&amp;$J8,SorP!C:C,0))))</f>
        <v>CN-GD</v>
      </c>
      <c r="U8" s="185"/>
      <c r="V8" s="209">
        <f ca="1">IF(C8="",NA(),IF(OR(C8="Smelter not listed",C8="Smelter not yet identified"),MATCH($B8&amp;$D8,'Smelter Look-up'!$J:$J,0),MATCH($B8&amp;$C8,'Smelter Look-up'!$J:$J,0)))</f>
        <v>447</v>
      </c>
      <c r="X8" s="210">
        <f t="shared" ca="1" si="3"/>
        <v>0</v>
      </c>
      <c r="AB8" s="211" t="str">
        <f t="shared" ca="1" si="4"/>
        <v>TinDongguan Best Alloys Co., Ltd.</v>
      </c>
    </row>
    <row r="9" spans="1:34" s="210" customFormat="1" ht="20.100000000000001" customHeight="1">
      <c r="A9" s="245" t="s">
        <v>1362</v>
      </c>
      <c r="B9" s="166" t="str">
        <f ca="1">IF(LEN(A9)=0,"",INDEX('Smelter Look-up'!$A:$A,MATCH($A9,'Smelter Look-up'!$E:$E,0)))</f>
        <v>Tin</v>
      </c>
      <c r="C9" s="170" t="str">
        <f ca="1">IF(LEN(A9)=0,"",INDEX('Smelter Look-up'!$C:$C,MATCH($A9,'Smelter Look-up'!$E:$E,0)))</f>
        <v>Dowa</v>
      </c>
      <c r="D9" s="213"/>
      <c r="E9" s="166" t="str">
        <f ca="1">IF(ISERROR($V9),"",OFFSET('Smelter Look-up'!$D$4,$V9-4,0)&amp;"")</f>
        <v>JAPAN</v>
      </c>
      <c r="F9" s="166" t="str">
        <f ca="1">IF(ISERROR($V9),"",OFFSET('Smelter Look-up'!$E$4,$V9-4,0))</f>
        <v>CID000402</v>
      </c>
      <c r="G9" s="166" t="str">
        <f ca="1">IF(C9=$X$4,IF(ISERROR($V9),"Enter smelter details","RMI"),IF(ISERROR($V9),"",OFFSET('Smelter Look-up'!$F$4,$V9-4,0)))</f>
        <v>RMI</v>
      </c>
      <c r="H9" s="167">
        <f ca="1">IF(ISERROR($V9),"",OFFSET('Smelter Look-up'!$G$4,$V9-4,0))</f>
        <v>0</v>
      </c>
      <c r="I9" s="168" t="str">
        <f ca="1">IF(ISERROR($V9),"",OFFSET('Smelter Look-up'!$H$4,$V9-4,0))</f>
        <v>Kosaka</v>
      </c>
      <c r="J9" s="168" t="str">
        <f ca="1">IF(ISERROR($V9),"",OFFSET('Smelter Look-up'!$I$4,$V9-4,0))</f>
        <v>Akita</v>
      </c>
      <c r="K9" s="207"/>
      <c r="L9" s="207"/>
      <c r="M9" s="207"/>
      <c r="N9" s="207"/>
      <c r="O9" s="207"/>
      <c r="P9" s="169"/>
      <c r="Q9" s="208"/>
      <c r="R9" s="166" t="str">
        <f ca="1">IF(ISERROR($V9),"",OFFSET('Smelter Look-up'!$C$4,$V9-4,0)&amp;"")</f>
        <v>Dowa</v>
      </c>
      <c r="S9" s="165" t="str">
        <f t="shared" ca="1" si="2"/>
        <v>JP</v>
      </c>
      <c r="T9" s="165" t="str">
        <f ca="1">IF(B9="","",IF(ISERROR(MATCH($J9,SorP!$B$1:$B$6261,0)),"",INDIRECT("'SorP'!$A$"&amp;MATCH($S9&amp;$J9,SorP!C:C,0))))</f>
        <v>JP-05</v>
      </c>
      <c r="U9" s="185"/>
      <c r="V9" s="209">
        <f ca="1">IF(C9="",NA(),IF(OR(C9="Smelter not listed",C9="Smelter not yet identified"),MATCH($B9&amp;$D9,'Smelter Look-up'!$J:$J,0),MATCH($B9&amp;$C9,'Smelter Look-up'!$J:$J,0)))</f>
        <v>450</v>
      </c>
      <c r="X9" s="210">
        <f t="shared" ca="1" si="3"/>
        <v>0</v>
      </c>
      <c r="AB9" s="211" t="str">
        <f t="shared" ca="1" si="4"/>
        <v>TinDowa</v>
      </c>
    </row>
    <row r="10" spans="1:34" s="210" customFormat="1" ht="20.100000000000001" customHeight="1">
      <c r="A10" s="245" t="s">
        <v>736</v>
      </c>
      <c r="B10" s="166" t="str">
        <f ca="1">IF(LEN(A10)=0,"",INDEX('Smelter Look-up'!$A:$A,MATCH($A10,'Smelter Look-up'!$E:$E,0)))</f>
        <v>Tin</v>
      </c>
      <c r="C10" s="170" t="str">
        <f ca="1">IF(LEN(A10)=0,"",INDEX('Smelter Look-up'!$C:$C,MATCH($A10,'Smelter Look-up'!$E:$E,0)))</f>
        <v>EM Vinto</v>
      </c>
      <c r="D10" s="213"/>
      <c r="E10" s="166" t="str">
        <f ca="1">IF(ISERROR($V10),"",OFFSET('Smelter Look-up'!$D$4,$V10-4,0)&amp;"")</f>
        <v>BOLIVIA (PLURINATIONAL STATE OF)</v>
      </c>
      <c r="F10" s="166" t="str">
        <f ca="1">IF(ISERROR($V10),"",OFFSET('Smelter Look-up'!$E$4,$V10-4,0))</f>
        <v>CID000438</v>
      </c>
      <c r="G10" s="166" t="str">
        <f ca="1">IF(C10=$X$4,IF(ISERROR($V10),"Enter smelter details","RMI"),IF(ISERROR($V10),"",OFFSET('Smelter Look-up'!$F$4,$V10-4,0)))</f>
        <v>RMI</v>
      </c>
      <c r="H10" s="167">
        <f ca="1">IF(ISERROR($V10),"",OFFSET('Smelter Look-up'!$G$4,$V10-4,0))</f>
        <v>0</v>
      </c>
      <c r="I10" s="168" t="str">
        <f ca="1">IF(ISERROR($V10),"",OFFSET('Smelter Look-up'!$H$4,$V10-4,0))</f>
        <v>Oruro</v>
      </c>
      <c r="J10" s="168" t="str">
        <f ca="1">IF(ISERROR($V10),"",OFFSET('Smelter Look-up'!$I$4,$V10-4,0))</f>
        <v>Oruro</v>
      </c>
      <c r="K10" s="207"/>
      <c r="L10" s="207"/>
      <c r="M10" s="207"/>
      <c r="N10" s="207"/>
      <c r="O10" s="207"/>
      <c r="P10" s="169"/>
      <c r="Q10" s="208"/>
      <c r="R10" s="166" t="str">
        <f ca="1">IF(ISERROR($V10),"",OFFSET('Smelter Look-up'!$C$4,$V10-4,0)&amp;"")</f>
        <v>EM Vinto</v>
      </c>
      <c r="S10" s="165" t="str">
        <f t="shared" ca="1" si="2"/>
        <v>Unknown</v>
      </c>
      <c r="T10" s="165" t="e">
        <f ca="1">IF(B10="","",IF(ISERROR(MATCH($J10,SorP!$B$1:$B$6261,0)),"",INDIRECT("'SorP'!$A$"&amp;MATCH($S10&amp;$J10,SorP!C:C,0))))</f>
        <v>#N/A</v>
      </c>
      <c r="U10" s="185"/>
      <c r="V10" s="209">
        <f ca="1">IF(C10="",NA(),IF(OR(C10="Smelter not listed",C10="Smelter not yet identified"),MATCH($B10&amp;$D10,'Smelter Look-up'!$J:$J,0),MATCH($B10&amp;$C10,'Smelter Look-up'!$J:$J,0)))</f>
        <v>453</v>
      </c>
      <c r="X10" s="210">
        <f t="shared" ca="1" si="3"/>
        <v>0</v>
      </c>
      <c r="AB10" s="211" t="str">
        <f t="shared" ca="1" si="4"/>
        <v>TinEM Vinto</v>
      </c>
    </row>
    <row r="11" spans="1:34" s="210" customFormat="1" ht="20.100000000000001" customHeight="1">
      <c r="A11" s="245" t="s">
        <v>738</v>
      </c>
      <c r="B11" s="166" t="str">
        <f ca="1">IF(LEN(A11)=0,"",INDEX('Smelter Look-up'!$A:$A,MATCH($A11,'Smelter Look-up'!$E:$E,0)))</f>
        <v>Tin</v>
      </c>
      <c r="C11" s="170" t="str">
        <f ca="1">IF(LEN(A11)=0,"",INDEX('Smelter Look-up'!$C:$C,MATCH($A11,'Smelter Look-up'!$E:$E,0)))</f>
        <v>Fenix Metals</v>
      </c>
      <c r="D11" s="213"/>
      <c r="E11" s="166" t="str">
        <f ca="1">IF(ISERROR($V11),"",OFFSET('Smelter Look-up'!$D$4,$V11-4,0)&amp;"")</f>
        <v>POLAND</v>
      </c>
      <c r="F11" s="166" t="str">
        <f ca="1">IF(ISERROR($V11),"",OFFSET('Smelter Look-up'!$E$4,$V11-4,0))</f>
        <v>CID000468</v>
      </c>
      <c r="G11" s="166" t="str">
        <f ca="1">IF(C11=$X$4,IF(ISERROR($V11),"Enter smelter details","RMI"),IF(ISERROR($V11),"",OFFSET('Smelter Look-up'!$F$4,$V11-4,0)))</f>
        <v>RMI</v>
      </c>
      <c r="H11" s="167">
        <f ca="1">IF(ISERROR($V11),"",OFFSET('Smelter Look-up'!$G$4,$V11-4,0))</f>
        <v>0</v>
      </c>
      <c r="I11" s="168" t="str">
        <f ca="1">IF(ISERROR($V11),"",OFFSET('Smelter Look-up'!$H$4,$V11-4,0))</f>
        <v>Chmielów</v>
      </c>
      <c r="J11" s="168" t="str">
        <f ca="1">IF(ISERROR($V11),"",OFFSET('Smelter Look-up'!$I$4,$V11-4,0))</f>
        <v>Podkarpackie</v>
      </c>
      <c r="K11" s="207"/>
      <c r="L11" s="207"/>
      <c r="M11" s="207"/>
      <c r="N11" s="207"/>
      <c r="O11" s="207"/>
      <c r="P11" s="169"/>
      <c r="Q11" s="208"/>
      <c r="R11" s="166" t="str">
        <f ca="1">IF(ISERROR($V11),"",OFFSET('Smelter Look-up'!$C$4,$V11-4,0)&amp;"")</f>
        <v>Fenix Metals</v>
      </c>
      <c r="S11" s="165" t="str">
        <f t="shared" ca="1" si="2"/>
        <v>PL</v>
      </c>
      <c r="T11" s="165" t="str">
        <f ca="1">IF(B11="","",IF(ISERROR(MATCH($J11,SorP!$B$1:$B$6261,0)),"",INDIRECT("'SorP'!$A$"&amp;MATCH($S11&amp;$J11,SorP!C:C,0))))</f>
        <v>PL-18</v>
      </c>
      <c r="U11" s="185"/>
      <c r="V11" s="209">
        <f ca="1">IF(C11="",NA(),IF(OR(C11="Smelter not listed",C11="Smelter not yet identified"),MATCH($B11&amp;$D11,'Smelter Look-up'!$J:$J,0),MATCH($B11&amp;$C11,'Smelter Look-up'!$J:$J,0)))</f>
        <v>462</v>
      </c>
      <c r="X11" s="210">
        <f t="shared" ca="1" si="3"/>
        <v>0</v>
      </c>
      <c r="AB11" s="211" t="str">
        <f t="shared" ca="1" si="4"/>
        <v>TinFenix Metals</v>
      </c>
    </row>
    <row r="12" spans="1:34" s="210" customFormat="1" ht="20.100000000000001" customHeight="1">
      <c r="A12" s="245" t="s">
        <v>742</v>
      </c>
      <c r="B12" s="166" t="str">
        <f ca="1">IF(LEN(A12)=0,"",INDEX('Smelter Look-up'!$A:$A,MATCH($A12,'Smelter Look-up'!$E:$E,0)))</f>
        <v>Tin</v>
      </c>
      <c r="C12" s="170" t="str">
        <f ca="1">IF(LEN(A12)=0,"",INDEX('Smelter Look-up'!$C:$C,MATCH($A12,'Smelter Look-up'!$E:$E,0)))</f>
        <v>China Tin Group Co., Ltd.</v>
      </c>
      <c r="D12" s="213"/>
      <c r="E12" s="166" t="str">
        <f ca="1">IF(ISERROR($V12),"",OFFSET('Smelter Look-up'!$D$4,$V12-4,0)&amp;"")</f>
        <v>CHINA</v>
      </c>
      <c r="F12" s="166" t="str">
        <f ca="1">IF(ISERROR($V12),"",OFFSET('Smelter Look-up'!$E$4,$V12-4,0))</f>
        <v>CID001070</v>
      </c>
      <c r="G12" s="166" t="str">
        <f ca="1">IF(C12=$X$4,IF(ISERROR($V12),"Enter smelter details","RMI"),IF(ISERROR($V12),"",OFFSET('Smelter Look-up'!$F$4,$V12-4,0)))</f>
        <v>RMI</v>
      </c>
      <c r="H12" s="167">
        <f ca="1">IF(ISERROR($V12),"",OFFSET('Smelter Look-up'!$G$4,$V12-4,0))</f>
        <v>0</v>
      </c>
      <c r="I12" s="168" t="str">
        <f ca="1">IF(ISERROR($V12),"",OFFSET('Smelter Look-up'!$H$4,$V12-4,0))</f>
        <v>Laibin</v>
      </c>
      <c r="J12" s="168" t="str">
        <f ca="1">IF(ISERROR($V12),"",OFFSET('Smelter Look-up'!$I$4,$V12-4,0))</f>
        <v>Guangxi Zhuangzu Zizhiqu</v>
      </c>
      <c r="K12" s="207"/>
      <c r="L12" s="207"/>
      <c r="M12" s="207"/>
      <c r="N12" s="207"/>
      <c r="O12" s="207"/>
      <c r="P12" s="169"/>
      <c r="Q12" s="208"/>
      <c r="R12" s="166" t="str">
        <f ca="1">IF(ISERROR($V12),"",OFFSET('Smelter Look-up'!$C$4,$V12-4,0)&amp;"")</f>
        <v>China Tin Group Co., Ltd.</v>
      </c>
      <c r="S12" s="165" t="str">
        <f t="shared" ca="1" si="2"/>
        <v>CN</v>
      </c>
      <c r="T12" s="165" t="str">
        <f ca="1">IF(B12="","",IF(ISERROR(MATCH($J12,SorP!$B$1:$B$6261,0)),"",INDIRECT("'SorP'!$A$"&amp;MATCH($S12&amp;$J12,SorP!C:C,0))))</f>
        <v>CN-GX</v>
      </c>
      <c r="U12" s="185"/>
      <c r="V12" s="209">
        <f ca="1">IF(C12="",NA(),IF(OR(C12="Smelter not listed",C12="Smelter not yet identified"),MATCH($B12&amp;$D12,'Smelter Look-up'!$J:$J,0),MATCH($B12&amp;$C12,'Smelter Look-up'!$J:$J,0)))</f>
        <v>431</v>
      </c>
      <c r="X12" s="210">
        <f t="shared" ca="1" si="3"/>
        <v>0</v>
      </c>
      <c r="AB12" s="211" t="str">
        <f t="shared" ca="1" si="4"/>
        <v>TinChina Tin Group Co., Ltd.</v>
      </c>
    </row>
    <row r="13" spans="1:34" s="210" customFormat="1" ht="20.100000000000001" customHeight="1">
      <c r="A13" s="245" t="s">
        <v>1699</v>
      </c>
      <c r="B13" s="166" t="str">
        <f ca="1">IF(LEN(A13)=0,"",INDEX('Smelter Look-up'!$A:$A,MATCH($A13,'Smelter Look-up'!$E:$E,0)))</f>
        <v>Tin</v>
      </c>
      <c r="C13" s="170" t="str">
        <f ca="1">IF(LEN(A13)=0,"",INDEX('Smelter Look-up'!$C:$C,MATCH($A13,'Smelter Look-up'!$E:$E,0)))</f>
        <v>Metallic Resources, Inc.</v>
      </c>
      <c r="D13" s="213"/>
      <c r="E13" s="166" t="str">
        <f ca="1">IF(ISERROR($V13),"",OFFSET('Smelter Look-up'!$D$4,$V13-4,0)&amp;"")</f>
        <v>UNITED STATES OF AMERICA</v>
      </c>
      <c r="F13" s="166" t="str">
        <f ca="1">IF(ISERROR($V13),"",OFFSET('Smelter Look-up'!$E$4,$V13-4,0))</f>
        <v>CID001142</v>
      </c>
      <c r="G13" s="166" t="str">
        <f ca="1">IF(C13=$X$4,IF(ISERROR($V13),"Enter smelter details","RMI"),IF(ISERROR($V13),"",OFFSET('Smelter Look-up'!$F$4,$V13-4,0)))</f>
        <v>RMI</v>
      </c>
      <c r="H13" s="167">
        <f ca="1">IF(ISERROR($V13),"",OFFSET('Smelter Look-up'!$G$4,$V13-4,0))</f>
        <v>0</v>
      </c>
      <c r="I13" s="168" t="str">
        <f ca="1">IF(ISERROR($V13),"",OFFSET('Smelter Look-up'!$H$4,$V13-4,0))</f>
        <v>Twinsburg</v>
      </c>
      <c r="J13" s="168" t="str">
        <f ca="1">IF(ISERROR($V13),"",OFFSET('Smelter Look-up'!$I$4,$V13-4,0))</f>
        <v>Ohio</v>
      </c>
      <c r="K13" s="207"/>
      <c r="L13" s="207"/>
      <c r="M13" s="207"/>
      <c r="N13" s="207"/>
      <c r="O13" s="207"/>
      <c r="P13" s="169"/>
      <c r="Q13" s="208"/>
      <c r="R13" s="166" t="str">
        <f ca="1">IF(ISERROR($V13),"",OFFSET('Smelter Look-up'!$C$4,$V13-4,0)&amp;"")</f>
        <v>Metallic Resources, Inc.</v>
      </c>
      <c r="S13" s="165" t="str">
        <f t="shared" ca="1" si="2"/>
        <v>US</v>
      </c>
      <c r="T13" s="165" t="str">
        <f ca="1">IF(B13="","",IF(ISERROR(MATCH($J13,SorP!$B$1:$B$6261,0)),"",INDIRECT("'SorP'!$A$"&amp;MATCH($S13&amp;$J13,SorP!C:C,0))))</f>
        <v>US-OH</v>
      </c>
      <c r="U13" s="185"/>
      <c r="V13" s="209">
        <f ca="1">IF(C13="",NA(),IF(OR(C13="Smelter not listed",C13="Smelter not yet identified"),MATCH($B13&amp;$D13,'Smelter Look-up'!$J:$J,0),MATCH($B13&amp;$C13,'Smelter Look-up'!$J:$J,0)))</f>
        <v>495</v>
      </c>
      <c r="X13" s="210">
        <f t="shared" ca="1" si="3"/>
        <v>0</v>
      </c>
      <c r="AB13" s="211" t="str">
        <f t="shared" ca="1" si="4"/>
        <v>TinMetallic Resources, Inc.</v>
      </c>
    </row>
    <row r="14" spans="1:34" s="210" customFormat="1" ht="20.100000000000001" customHeight="1">
      <c r="A14" s="245" t="s">
        <v>743</v>
      </c>
      <c r="B14" s="166" t="str">
        <f ca="1">IF(LEN(A14)=0,"",INDEX('Smelter Look-up'!$A:$A,MATCH($A14,'Smelter Look-up'!$E:$E,0)))</f>
        <v>Tin</v>
      </c>
      <c r="C14" s="170" t="str">
        <f ca="1">IF(LEN(A14)=0,"",INDEX('Smelter Look-up'!$C:$C,MATCH($A14,'Smelter Look-up'!$E:$E,0)))</f>
        <v>Mineracao Taboca S.A.</v>
      </c>
      <c r="D14" s="213"/>
      <c r="E14" s="166" t="str">
        <f ca="1">IF(ISERROR($V14),"",OFFSET('Smelter Look-up'!$D$4,$V14-4,0)&amp;"")</f>
        <v>BRAZIL</v>
      </c>
      <c r="F14" s="166" t="str">
        <f ca="1">IF(ISERROR($V14),"",OFFSET('Smelter Look-up'!$E$4,$V14-4,0))</f>
        <v>CID001173</v>
      </c>
      <c r="G14" s="166" t="str">
        <f ca="1">IF(C14=$X$4,IF(ISERROR($V14),"Enter smelter details","RMI"),IF(ISERROR($V14),"",OFFSET('Smelter Look-up'!$F$4,$V14-4,0)))</f>
        <v>RMI</v>
      </c>
      <c r="H14" s="167">
        <f ca="1">IF(ISERROR($V14),"",OFFSET('Smelter Look-up'!$G$4,$V14-4,0))</f>
        <v>0</v>
      </c>
      <c r="I14" s="168" t="str">
        <f ca="1">IF(ISERROR($V14),"",OFFSET('Smelter Look-up'!$H$4,$V14-4,0))</f>
        <v>Pirapora de Bom Jesus</v>
      </c>
      <c r="J14" s="168" t="str">
        <f ca="1">IF(ISERROR($V14),"",OFFSET('Smelter Look-up'!$I$4,$V14-4,0))</f>
        <v>São Paulo</v>
      </c>
      <c r="K14" s="207"/>
      <c r="L14" s="207"/>
      <c r="M14" s="207"/>
      <c r="N14" s="207"/>
      <c r="O14" s="207"/>
      <c r="P14" s="169"/>
      <c r="Q14" s="208"/>
      <c r="R14" s="166" t="str">
        <f ca="1">IF(ISERROR($V14),"",OFFSET('Smelter Look-up'!$C$4,$V14-4,0)&amp;"")</f>
        <v>Mineracao Taboca S.A.</v>
      </c>
      <c r="S14" s="165" t="str">
        <f t="shared" ca="1" si="2"/>
        <v>BR</v>
      </c>
      <c r="T14" s="165" t="str">
        <f ca="1">IF(B14="","",IF(ISERROR(MATCH($J14,SorP!$B$1:$B$6261,0)),"",INDIRECT("'SorP'!$A$"&amp;MATCH($S14&amp;$J14,SorP!C:C,0))))</f>
        <v>BR-SP</v>
      </c>
      <c r="U14" s="185"/>
      <c r="V14" s="209">
        <f ca="1">IF(C14="",NA(),IF(OR(C14="Smelter not listed",C14="Smelter not yet identified"),MATCH($B14&amp;$D14,'Smelter Look-up'!$J:$J,0),MATCH($B14&amp;$C14,'Smelter Look-up'!$J:$J,0)))</f>
        <v>498</v>
      </c>
      <c r="X14" s="210">
        <f t="shared" ca="1" si="3"/>
        <v>0</v>
      </c>
      <c r="AB14" s="211" t="str">
        <f t="shared" ca="1" si="4"/>
        <v>TinMineracao Taboca S.A.</v>
      </c>
    </row>
    <row r="15" spans="1:34" s="210" customFormat="1" ht="20.100000000000001" customHeight="1">
      <c r="A15" s="245" t="s">
        <v>744</v>
      </c>
      <c r="B15" s="166" t="str">
        <f ca="1">IF(LEN(A15)=0,"",INDEX('Smelter Look-up'!$A:$A,MATCH($A15,'Smelter Look-up'!$E:$E,0)))</f>
        <v>Tin</v>
      </c>
      <c r="C15" s="170" t="str">
        <f ca="1">IF(LEN(A15)=0,"",INDEX('Smelter Look-up'!$C:$C,MATCH($A15,'Smelter Look-up'!$E:$E,0)))</f>
        <v>Minsur</v>
      </c>
      <c r="D15" s="213"/>
      <c r="E15" s="166" t="str">
        <f ca="1">IF(ISERROR($V15),"",OFFSET('Smelter Look-up'!$D$4,$V15-4,0)&amp;"")</f>
        <v>PERU</v>
      </c>
      <c r="F15" s="166" t="str">
        <f ca="1">IF(ISERROR($V15),"",OFFSET('Smelter Look-up'!$E$4,$V15-4,0))</f>
        <v>CID001182</v>
      </c>
      <c r="G15" s="166" t="str">
        <f ca="1">IF(C15=$X$4,IF(ISERROR($V15),"Enter smelter details","RMI"),IF(ISERROR($V15),"",OFFSET('Smelter Look-up'!$F$4,$V15-4,0)))</f>
        <v>RMI</v>
      </c>
      <c r="H15" s="167">
        <f ca="1">IF(ISERROR($V15),"",OFFSET('Smelter Look-up'!$G$4,$V15-4,0))</f>
        <v>0</v>
      </c>
      <c r="I15" s="168" t="str">
        <f ca="1">IF(ISERROR($V15),"",OFFSET('Smelter Look-up'!$H$4,$V15-4,0))</f>
        <v>Paracas</v>
      </c>
      <c r="J15" s="168" t="str">
        <f ca="1">IF(ISERROR($V15),"",OFFSET('Smelter Look-up'!$I$4,$V15-4,0))</f>
        <v>Ika</v>
      </c>
      <c r="K15" s="207"/>
      <c r="L15" s="207"/>
      <c r="M15" s="207"/>
      <c r="N15" s="207"/>
      <c r="O15" s="207"/>
      <c r="P15" s="169"/>
      <c r="Q15" s="208"/>
      <c r="R15" s="166" t="str">
        <f ca="1">IF(ISERROR($V15),"",OFFSET('Smelter Look-up'!$C$4,$V15-4,0)&amp;"")</f>
        <v>Minsur</v>
      </c>
      <c r="S15" s="165" t="str">
        <f t="shared" ca="1" si="2"/>
        <v>PE</v>
      </c>
      <c r="T15" s="165" t="str">
        <f ca="1">IF(B15="","",IF(ISERROR(MATCH($J15,SorP!$B$1:$B$6261,0)),"",INDIRECT("'SorP'!$A$"&amp;MATCH($S15&amp;$J15,SorP!C:C,0))))</f>
        <v>PE-ICA</v>
      </c>
      <c r="U15" s="185"/>
      <c r="V15" s="209">
        <f ca="1">IF(C15="",NA(),IF(OR(C15="Smelter not listed",C15="Smelter not yet identified"),MATCH($B15&amp;$D15,'Smelter Look-up'!$J:$J,0),MATCH($B15&amp;$C15,'Smelter Look-up'!$J:$J,0)))</f>
        <v>503</v>
      </c>
      <c r="X15" s="210">
        <f t="shared" ca="1" si="3"/>
        <v>0</v>
      </c>
      <c r="AB15" s="211" t="str">
        <f t="shared" ca="1" si="4"/>
        <v>TinMinsur</v>
      </c>
    </row>
    <row r="16" spans="1:34" s="210" customFormat="1" ht="20.100000000000001" customHeight="1">
      <c r="A16" s="245" t="s">
        <v>745</v>
      </c>
      <c r="B16" s="166" t="str">
        <f ca="1">IF(LEN(A16)=0,"",INDEX('Smelter Look-up'!$A:$A,MATCH($A16,'Smelter Look-up'!$E:$E,0)))</f>
        <v>Tin</v>
      </c>
      <c r="C16" s="170" t="str">
        <f ca="1">IF(LEN(A16)=0,"",INDEX('Smelter Look-up'!$C:$C,MATCH($A16,'Smelter Look-up'!$E:$E,0)))</f>
        <v>Mitsubishi Materials Corporation</v>
      </c>
      <c r="D16" s="213"/>
      <c r="E16" s="166" t="str">
        <f ca="1">IF(ISERROR($V16),"",OFFSET('Smelter Look-up'!$D$4,$V16-4,0)&amp;"")</f>
        <v>JAPAN</v>
      </c>
      <c r="F16" s="166" t="str">
        <f ca="1">IF(ISERROR($V16),"",OFFSET('Smelter Look-up'!$E$4,$V16-4,0))</f>
        <v>CID001191</v>
      </c>
      <c r="G16" s="166" t="str">
        <f ca="1">IF(C16=$X$4,IF(ISERROR($V16),"Enter smelter details","RMI"),IF(ISERROR($V16),"",OFFSET('Smelter Look-up'!$F$4,$V16-4,0)))</f>
        <v>RMI</v>
      </c>
      <c r="H16" s="167">
        <f ca="1">IF(ISERROR($V16),"",OFFSET('Smelter Look-up'!$G$4,$V16-4,0))</f>
        <v>0</v>
      </c>
      <c r="I16" s="168" t="str">
        <f ca="1">IF(ISERROR($V16),"",OFFSET('Smelter Look-up'!$H$4,$V16-4,0))</f>
        <v>Asago</v>
      </c>
      <c r="J16" s="168" t="str">
        <f ca="1">IF(ISERROR($V16),"",OFFSET('Smelter Look-up'!$I$4,$V16-4,0))</f>
        <v>Hyôgo</v>
      </c>
      <c r="K16" s="207"/>
      <c r="L16" s="207"/>
      <c r="M16" s="207"/>
      <c r="N16" s="207"/>
      <c r="O16" s="207"/>
      <c r="P16" s="169"/>
      <c r="Q16" s="208"/>
      <c r="R16" s="166" t="str">
        <f ca="1">IF(ISERROR($V16),"",OFFSET('Smelter Look-up'!$C$4,$V16-4,0)&amp;"")</f>
        <v>Mitsubishi Materials Corporation</v>
      </c>
      <c r="S16" s="165" t="str">
        <f t="shared" ca="1" si="2"/>
        <v>JP</v>
      </c>
      <c r="T16" s="165" t="str">
        <f ca="1">IF(B16="","",IF(ISERROR(MATCH($J16,SorP!$B$1:$B$6261,0)),"",INDIRECT("'SorP'!$A$"&amp;MATCH($S16&amp;$J16,SorP!C:C,0))))</f>
        <v>JP-28</v>
      </c>
      <c r="U16" s="185"/>
      <c r="V16" s="209">
        <f ca="1">IF(C16="",NA(),IF(OR(C16="Smelter not listed",C16="Smelter not yet identified"),MATCH($B16&amp;$D16,'Smelter Look-up'!$J:$J,0),MATCH($B16&amp;$C16,'Smelter Look-up'!$J:$J,0)))</f>
        <v>504</v>
      </c>
      <c r="X16" s="210">
        <f t="shared" ca="1" si="3"/>
        <v>0</v>
      </c>
      <c r="AB16" s="211" t="str">
        <f t="shared" ca="1" si="4"/>
        <v>TinMitsubishi Materials Corporation</v>
      </c>
    </row>
    <row r="17" spans="1:28" s="210" customFormat="1" ht="20.100000000000001" customHeight="1">
      <c r="A17" s="245" t="s">
        <v>747</v>
      </c>
      <c r="B17" s="166" t="str">
        <f ca="1">IF(LEN(A17)=0,"",INDEX('Smelter Look-up'!$A:$A,MATCH($A17,'Smelter Look-up'!$E:$E,0)))</f>
        <v>Tin</v>
      </c>
      <c r="C17" s="170" t="str">
        <f ca="1">IF(LEN(A17)=0,"",INDEX('Smelter Look-up'!$C:$C,MATCH($A17,'Smelter Look-up'!$E:$E,0)))</f>
        <v>O.M. Manufacturing (Thailand) Co., Ltd.</v>
      </c>
      <c r="D17" s="213"/>
      <c r="E17" s="166" t="str">
        <f ca="1">IF(ISERROR($V17),"",OFFSET('Smelter Look-up'!$D$4,$V17-4,0)&amp;"")</f>
        <v>THAILAND</v>
      </c>
      <c r="F17" s="166" t="str">
        <f ca="1">IF(ISERROR($V17),"",OFFSET('Smelter Look-up'!$E$4,$V17-4,0))</f>
        <v>CID001314</v>
      </c>
      <c r="G17" s="166" t="str">
        <f ca="1">IF(C17=$X$4,IF(ISERROR($V17),"Enter smelter details","RMI"),IF(ISERROR($V17),"",OFFSET('Smelter Look-up'!$F$4,$V17-4,0)))</f>
        <v>RMI</v>
      </c>
      <c r="H17" s="167">
        <f ca="1">IF(ISERROR($V17),"",OFFSET('Smelter Look-up'!$G$4,$V17-4,0))</f>
        <v>0</v>
      </c>
      <c r="I17" s="168" t="str">
        <f ca="1">IF(ISERROR($V17),"",OFFSET('Smelter Look-up'!$H$4,$V17-4,0))</f>
        <v>Nongkham Sriracha</v>
      </c>
      <c r="J17" s="168" t="str">
        <f ca="1">IF(ISERROR($V17),"",OFFSET('Smelter Look-up'!$I$4,$V17-4,0))</f>
        <v>Chon Buri</v>
      </c>
      <c r="K17" s="207"/>
      <c r="L17" s="207"/>
      <c r="M17" s="207"/>
      <c r="N17" s="207"/>
      <c r="O17" s="207"/>
      <c r="P17" s="169"/>
      <c r="Q17" s="208"/>
      <c r="R17" s="166" t="str">
        <f ca="1">IF(ISERROR($V17),"",OFFSET('Smelter Look-up'!$C$4,$V17-4,0)&amp;"")</f>
        <v>O.M. Manufacturing (Thailand) Co., Ltd.</v>
      </c>
      <c r="S17" s="165" t="str">
        <f t="shared" ca="1" si="2"/>
        <v>TH</v>
      </c>
      <c r="T17" s="165" t="str">
        <f ca="1">IF(B17="","",IF(ISERROR(MATCH($J17,SorP!$B$1:$B$6261,0)),"",INDIRECT("'SorP'!$A$"&amp;MATCH($S17&amp;$J17,SorP!C:C,0))))</f>
        <v>TH-20</v>
      </c>
      <c r="U17" s="185"/>
      <c r="V17" s="209">
        <f ca="1">IF(C17="",NA(),IF(OR(C17="Smelter not listed",C17="Smelter not yet identified"),MATCH($B17&amp;$D17,'Smelter Look-up'!$J:$J,0),MATCH($B17&amp;$C17,'Smelter Look-up'!$J:$J,0)))</f>
        <v>511</v>
      </c>
      <c r="X17" s="210">
        <f t="shared" ca="1" si="3"/>
        <v>0</v>
      </c>
      <c r="AB17" s="211" t="str">
        <f t="shared" ca="1" si="4"/>
        <v>TinO.M. Manufacturing (Thailand) Co., Ltd.</v>
      </c>
    </row>
    <row r="18" spans="1:28" s="210" customFormat="1" ht="20.100000000000001" customHeight="1">
      <c r="A18" s="165" t="s">
        <v>748</v>
      </c>
      <c r="B18" s="166" t="str">
        <f ca="1">IF(LEN(A18)=0,"",INDEX('Smelter Look-up'!$A:$A,MATCH($A18,'Smelter Look-up'!$E:$E,0)))</f>
        <v>Tin</v>
      </c>
      <c r="C18" s="170" t="str">
        <f ca="1">IF(LEN(A18)=0,"",INDEX('Smelter Look-up'!$C:$C,MATCH($A18,'Smelter Look-up'!$E:$E,0)))</f>
        <v>Operaciones Metalurgicas S.A.</v>
      </c>
      <c r="D18" s="213"/>
      <c r="E18" s="166" t="str">
        <f ca="1">IF(ISERROR($V18),"",OFFSET('Smelter Look-up'!$D$4,$V18-4,0)&amp;"")</f>
        <v>BOLIVIA (PLURINATIONAL STATE OF)</v>
      </c>
      <c r="F18" s="166" t="str">
        <f ca="1">IF(ISERROR($V18),"",OFFSET('Smelter Look-up'!$E$4,$V18-4,0))</f>
        <v>CID001337</v>
      </c>
      <c r="G18" s="166" t="str">
        <f ca="1">IF(C18=$X$4,IF(ISERROR($V18),"Enter smelter details","RMI"),IF(ISERROR($V18),"",OFFSET('Smelter Look-up'!$F$4,$V18-4,0)))</f>
        <v>RMI</v>
      </c>
      <c r="H18" s="167">
        <f ca="1">IF(ISERROR($V18),"",OFFSET('Smelter Look-up'!$G$4,$V18-4,0))</f>
        <v>0</v>
      </c>
      <c r="I18" s="168" t="str">
        <f ca="1">IF(ISERROR($V18),"",OFFSET('Smelter Look-up'!$H$4,$V18-4,0))</f>
        <v>Oruro</v>
      </c>
      <c r="J18" s="168" t="str">
        <f ca="1">IF(ISERROR($V18),"",OFFSET('Smelter Look-up'!$I$4,$V18-4,0))</f>
        <v>Oruro</v>
      </c>
      <c r="K18" s="207"/>
      <c r="L18" s="207"/>
      <c r="M18" s="207"/>
      <c r="N18" s="207"/>
      <c r="O18" s="207"/>
      <c r="P18" s="169"/>
      <c r="Q18" s="208"/>
      <c r="R18" s="166" t="str">
        <f ca="1">IF(ISERROR($V18),"",OFFSET('Smelter Look-up'!$C$4,$V18-4,0)&amp;"")</f>
        <v>Operaciones Metalurgicas S.A.</v>
      </c>
      <c r="S18" s="165" t="str">
        <f t="shared" ca="1" si="2"/>
        <v>Unknown</v>
      </c>
      <c r="T18" s="165" t="e">
        <f ca="1">IF(B18="","",IF(ISERROR(MATCH($J18,SorP!$B$1:$B$6261,0)),"",INDIRECT("'SorP'!$A$"&amp;MATCH($S18&amp;$J18,SorP!C:C,0))))</f>
        <v>#N/A</v>
      </c>
      <c r="U18" s="185"/>
      <c r="V18" s="209">
        <f ca="1">IF(C18="",NA(),IF(OR(C18="Smelter not listed",C18="Smelter not yet identified"),MATCH($B18&amp;$D18,'Smelter Look-up'!$J:$J,0),MATCH($B18&amp;$C18,'Smelter Look-up'!$J:$J,0)))</f>
        <v>514</v>
      </c>
      <c r="X18" s="210">
        <f t="shared" ca="1" si="3"/>
        <v>0</v>
      </c>
      <c r="AB18" s="211" t="str">
        <f t="shared" ca="1" si="4"/>
        <v>TinOperaciones Metalurgicas S.A.</v>
      </c>
    </row>
    <row r="19" spans="1:28" s="210" customFormat="1" ht="20.25">
      <c r="A19" s="165" t="s">
        <v>749</v>
      </c>
      <c r="B19" s="166" t="str">
        <f ca="1">IF(LEN(A19)=0,"",INDEX('Smelter Look-up'!$A:$A,MATCH($A19,'Smelter Look-up'!$E:$E,0)))</f>
        <v>Tin</v>
      </c>
      <c r="C19" s="170" t="str">
        <f ca="1">IF(LEN(A19)=0,"",INDEX('Smelter Look-up'!$C:$C,MATCH($A19,'Smelter Look-up'!$E:$E,0)))</f>
        <v>PT Mitra Stania Prima</v>
      </c>
      <c r="D19" s="213"/>
      <c r="E19" s="166" t="str">
        <f ca="1">IF(ISERROR($V19),"",OFFSET('Smelter Look-up'!$D$4,$V19-4,0)&amp;"")</f>
        <v>INDONESIA</v>
      </c>
      <c r="F19" s="166" t="str">
        <f ca="1">IF(ISERROR($V19),"",OFFSET('Smelter Look-up'!$E$4,$V19-4,0))</f>
        <v>CID001453</v>
      </c>
      <c r="G19" s="166" t="str">
        <f ca="1">IF(C19=$X$4,IF(ISERROR($V19),"Enter smelter details","RMI"),IF(ISERROR($V19),"",OFFSET('Smelter Look-up'!$F$4,$V19-4,0)))</f>
        <v>RMI</v>
      </c>
      <c r="H19" s="167">
        <f ca="1">IF(ISERROR($V19),"",OFFSET('Smelter Look-up'!$G$4,$V19-4,0))</f>
        <v>0</v>
      </c>
      <c r="I19" s="168" t="str">
        <f ca="1">IF(ISERROR($V19),"",OFFSET('Smelter Look-up'!$H$4,$V19-4,0))</f>
        <v>Sungailiat</v>
      </c>
      <c r="J19" s="168" t="str">
        <f ca="1">IF(ISERROR($V19),"",OFFSET('Smelter Look-up'!$I$4,$V19-4,0))</f>
        <v>Kepulauan Bangka Belitung</v>
      </c>
      <c r="K19" s="207"/>
      <c r="L19" s="207"/>
      <c r="M19" s="207"/>
      <c r="N19" s="207"/>
      <c r="O19" s="207"/>
      <c r="P19" s="169"/>
      <c r="Q19" s="208"/>
      <c r="R19" s="166" t="str">
        <f ca="1">IF(ISERROR($V19),"",OFFSET('Smelter Look-up'!$C$4,$V19-4,0)&amp;"")</f>
        <v>PT Mitra Stania Prima</v>
      </c>
      <c r="S19" s="165" t="str">
        <f t="shared" ca="1" si="2"/>
        <v>ID</v>
      </c>
      <c r="T19" s="165" t="str">
        <f ca="1">IF(B19="","",IF(ISERROR(MATCH($J19,SorP!$B$1:$B$6261,0)),"",INDIRECT("'SorP'!$A$"&amp;MATCH($S19&amp;$J19,SorP!C:C,0))))</f>
        <v>ID-BB</v>
      </c>
      <c r="U19" s="185"/>
      <c r="V19" s="209">
        <f ca="1">IF(C19="",NA(),IF(OR(C19="Smelter not listed",C19="Smelter not yet identified"),MATCH($B19&amp;$D19,'Smelter Look-up'!$J:$J,0),MATCH($B19&amp;$C19,'Smelter Look-up'!$J:$J,0)))</f>
        <v>524</v>
      </c>
      <c r="X19" s="210">
        <f t="shared" ca="1" si="3"/>
        <v>0</v>
      </c>
      <c r="AB19" s="211" t="str">
        <f t="shared" ca="1" si="4"/>
        <v>TinPT Mitra Stania Prima</v>
      </c>
    </row>
    <row r="20" spans="1:28" s="210" customFormat="1" ht="20.25">
      <c r="A20" s="165" t="s">
        <v>15253</v>
      </c>
      <c r="B20" s="166" t="str">
        <f ca="1">IF(LEN(A20)=0,"",INDEX('Smelter Look-up'!$A:$A,MATCH($A20,'Smelter Look-up'!$E:$E,0)))</f>
        <v>Tin</v>
      </c>
      <c r="C20" s="170" t="str">
        <f ca="1">IF(LEN(A20)=0,"",INDEX('Smelter Look-up'!$C:$C,MATCH($A20,'Smelter Look-up'!$E:$E,0)))</f>
        <v>PT Prima Timah Utama</v>
      </c>
      <c r="D20" s="213"/>
      <c r="E20" s="166" t="str">
        <f ca="1">IF(ISERROR($V20),"",OFFSET('Smelter Look-up'!$D$4,$V20-4,0)&amp;"")</f>
        <v>INDONESIA</v>
      </c>
      <c r="F20" s="166" t="str">
        <f ca="1">IF(ISERROR($V20),"",OFFSET('Smelter Look-up'!$E$4,$V20-4,0))</f>
        <v>CID001458</v>
      </c>
      <c r="G20" s="166" t="str">
        <f ca="1">IF(C20=$X$4,IF(ISERROR($V20),"Enter smelter details","RMI"),IF(ISERROR($V20),"",OFFSET('Smelter Look-up'!$F$4,$V20-4,0)))</f>
        <v>RMI</v>
      </c>
      <c r="H20" s="167">
        <f ca="1">IF(ISERROR($V20),"",OFFSET('Smelter Look-up'!$G$4,$V20-4,0))</f>
        <v>0</v>
      </c>
      <c r="I20" s="168" t="str">
        <f ca="1">IF(ISERROR($V20),"",OFFSET('Smelter Look-up'!$H$4,$V20-4,0))</f>
        <v>Pangkal Pinang</v>
      </c>
      <c r="J20" s="168" t="str">
        <f ca="1">IF(ISERROR($V20),"",OFFSET('Smelter Look-up'!$I$4,$V20-4,0))</f>
        <v>Kepulauan Bangka Belitung</v>
      </c>
      <c r="K20" s="207"/>
      <c r="L20" s="207"/>
      <c r="M20" s="207"/>
      <c r="N20" s="207"/>
      <c r="O20" s="207"/>
      <c r="P20" s="169"/>
      <c r="Q20" s="208"/>
      <c r="R20" s="166" t="str">
        <f ca="1">IF(ISERROR($V20),"",OFFSET('Smelter Look-up'!$C$4,$V20-4,0)&amp;"")</f>
        <v>PT Prima Timah Utama</v>
      </c>
      <c r="S20" s="165" t="str">
        <f t="shared" ca="1" si="2"/>
        <v>ID</v>
      </c>
      <c r="T20" s="165" t="str">
        <f ca="1">IF(B20="","",IF(ISERROR(MATCH($J20,SorP!$B$1:$B$6261,0)),"",INDIRECT("'SorP'!$A$"&amp;MATCH($S20&amp;$J20,SorP!C:C,0))))</f>
        <v>ID-BB</v>
      </c>
      <c r="U20" s="185"/>
      <c r="V20" s="209">
        <f ca="1">IF(C20="",NA(),IF(OR(C20="Smelter not listed",C20="Smelter not yet identified"),MATCH($B20&amp;$D20,'Smelter Look-up'!$J:$J,0),MATCH($B20&amp;$C20,'Smelter Look-up'!$J:$J,0)))</f>
        <v>527</v>
      </c>
      <c r="X20" s="210">
        <f t="shared" ca="1" si="3"/>
        <v>0</v>
      </c>
      <c r="AB20" s="211" t="str">
        <f t="shared" ca="1" si="4"/>
        <v>TinPT Prima Timah Utama</v>
      </c>
    </row>
    <row r="21" spans="1:28" s="210" customFormat="1" ht="20.25">
      <c r="A21" s="165" t="s">
        <v>767</v>
      </c>
      <c r="B21" s="166" t="str">
        <f ca="1">IF(LEN(A21)=0,"",INDEX('Smelter Look-up'!$A:$A,MATCH($A21,'Smelter Look-up'!$E:$E,0)))</f>
        <v>Tin</v>
      </c>
      <c r="C21" s="170" t="str">
        <f ca="1">IF(LEN(A21)=0,"",INDEX('Smelter Look-up'!$C:$C,MATCH($A21,'Smelter Look-up'!$E:$E,0)))</f>
        <v>PT Timah Tbk Kundur</v>
      </c>
      <c r="D21" s="213"/>
      <c r="E21" s="166" t="str">
        <f ca="1">IF(ISERROR($V21),"",OFFSET('Smelter Look-up'!$D$4,$V21-4,0)&amp;"")</f>
        <v>INDONESIA</v>
      </c>
      <c r="F21" s="166" t="str">
        <f ca="1">IF(ISERROR($V21),"",OFFSET('Smelter Look-up'!$E$4,$V21-4,0))</f>
        <v>CID001477</v>
      </c>
      <c r="G21" s="166" t="str">
        <f ca="1">IF(C21=$X$4,IF(ISERROR($V21),"Enter smelter details","RMI"),IF(ISERROR($V21),"",OFFSET('Smelter Look-up'!$F$4,$V21-4,0)))</f>
        <v>RMI</v>
      </c>
      <c r="H21" s="167">
        <f ca="1">IF(ISERROR($V21),"",OFFSET('Smelter Look-up'!$G$4,$V21-4,0))</f>
        <v>0</v>
      </c>
      <c r="I21" s="168" t="str">
        <f ca="1">IF(ISERROR($V21),"",OFFSET('Smelter Look-up'!$H$4,$V21-4,0))</f>
        <v>Kundur</v>
      </c>
      <c r="J21" s="168" t="str">
        <f ca="1">IF(ISERROR($V21),"",OFFSET('Smelter Look-up'!$I$4,$V21-4,0))</f>
        <v>Riau</v>
      </c>
      <c r="K21" s="207"/>
      <c r="L21" s="207"/>
      <c r="M21" s="207"/>
      <c r="N21" s="207"/>
      <c r="O21" s="207"/>
      <c r="P21" s="169"/>
      <c r="Q21" s="208"/>
      <c r="R21" s="166" t="str">
        <f ca="1">IF(ISERROR($V21),"",OFFSET('Smelter Look-up'!$C$4,$V21-4,0)&amp;"")</f>
        <v>PT Timah Tbk Kundur</v>
      </c>
      <c r="S21" s="165" t="str">
        <f t="shared" ca="1" si="2"/>
        <v>ID</v>
      </c>
      <c r="T21" s="165" t="str">
        <f ca="1">IF(B21="","",IF(ISERROR(MATCH($J21,SorP!$B$1:$B$6261,0)),"",INDIRECT("'SorP'!$A$"&amp;MATCH($S21&amp;$J21,SorP!C:C,0))))</f>
        <v>ID-RI</v>
      </c>
      <c r="U21" s="185"/>
      <c r="V21" s="209">
        <f ca="1">IF(C21="",NA(),IF(OR(C21="Smelter not listed",C21="Smelter not yet identified"),MATCH($B21&amp;$D21,'Smelter Look-up'!$J:$J,0),MATCH($B21&amp;$C21,'Smelter Look-up'!$J:$J,0)))</f>
        <v>531</v>
      </c>
      <c r="X21" s="210">
        <f t="shared" ca="1" si="3"/>
        <v>0</v>
      </c>
      <c r="AB21" s="211" t="str">
        <f t="shared" ca="1" si="4"/>
        <v>TinPT Timah Tbk Kundur</v>
      </c>
    </row>
    <row r="22" spans="1:28" s="210" customFormat="1" ht="20.25">
      <c r="A22" s="165" t="s">
        <v>750</v>
      </c>
      <c r="B22" s="166" t="str">
        <f ca="1">IF(LEN(A22)=0,"",INDEX('Smelter Look-up'!$A:$A,MATCH($A22,'Smelter Look-up'!$E:$E,0)))</f>
        <v>Tin</v>
      </c>
      <c r="C22" s="170" t="str">
        <f ca="1">IF(LEN(A22)=0,"",INDEX('Smelter Look-up'!$C:$C,MATCH($A22,'Smelter Look-up'!$E:$E,0)))</f>
        <v>PT Timah Tbk Mentok</v>
      </c>
      <c r="D22" s="213"/>
      <c r="E22" s="166" t="str">
        <f ca="1">IF(ISERROR($V22),"",OFFSET('Smelter Look-up'!$D$4,$V22-4,0)&amp;"")</f>
        <v>INDONESIA</v>
      </c>
      <c r="F22" s="166" t="str">
        <f ca="1">IF(ISERROR($V22),"",OFFSET('Smelter Look-up'!$E$4,$V22-4,0))</f>
        <v>CID001482</v>
      </c>
      <c r="G22" s="166" t="str">
        <f ca="1">IF(C22=$X$4,IF(ISERROR($V22),"Enter smelter details","RMI"),IF(ISERROR($V22),"",OFFSET('Smelter Look-up'!$F$4,$V22-4,0)))</f>
        <v>RMI</v>
      </c>
      <c r="H22" s="167">
        <f ca="1">IF(ISERROR($V22),"",OFFSET('Smelter Look-up'!$G$4,$V22-4,0))</f>
        <v>0</v>
      </c>
      <c r="I22" s="168" t="str">
        <f ca="1">IF(ISERROR($V22),"",OFFSET('Smelter Look-up'!$H$4,$V22-4,0))</f>
        <v>Mentok</v>
      </c>
      <c r="J22" s="168" t="str">
        <f ca="1">IF(ISERROR($V22),"",OFFSET('Smelter Look-up'!$I$4,$V22-4,0))</f>
        <v>Kepulauan Bangka Belitung</v>
      </c>
      <c r="K22" s="207"/>
      <c r="L22" s="207"/>
      <c r="M22" s="207"/>
      <c r="N22" s="207"/>
      <c r="O22" s="207"/>
      <c r="P22" s="169"/>
      <c r="Q22" s="208"/>
      <c r="R22" s="166" t="str">
        <f ca="1">IF(ISERROR($V22),"",OFFSET('Smelter Look-up'!$C$4,$V22-4,0)&amp;"")</f>
        <v>PT Timah Tbk Mentok</v>
      </c>
      <c r="S22" s="165" t="str">
        <f t="shared" ca="1" si="2"/>
        <v>ID</v>
      </c>
      <c r="T22" s="165" t="str">
        <f ca="1">IF(B22="","",IF(ISERROR(MATCH($J22,SorP!$B$1:$B$6261,0)),"",INDIRECT("'SorP'!$A$"&amp;MATCH($S22&amp;$J22,SorP!C:C,0))))</f>
        <v>ID-BB</v>
      </c>
      <c r="U22" s="185"/>
      <c r="V22" s="209">
        <f ca="1">IF(C22="",NA(),IF(OR(C22="Smelter not listed",C22="Smelter not yet identified"),MATCH($B22&amp;$D22,'Smelter Look-up'!$J:$J,0),MATCH($B22&amp;$C22,'Smelter Look-up'!$J:$J,0)))</f>
        <v>532</v>
      </c>
      <c r="X22" s="210">
        <f t="shared" ca="1" si="3"/>
        <v>0</v>
      </c>
      <c r="AB22" s="211" t="str">
        <f t="shared" ca="1" si="4"/>
        <v>TinPT Timah Tbk Mentok</v>
      </c>
    </row>
    <row r="23" spans="1:28" s="210" customFormat="1" ht="20.25">
      <c r="A23" s="165" t="s">
        <v>752</v>
      </c>
      <c r="B23" s="166" t="str">
        <f ca="1">IF(LEN(A23)=0,"",INDEX('Smelter Look-up'!$A:$A,MATCH($A23,'Smelter Look-up'!$E:$E,0)))</f>
        <v>Tin</v>
      </c>
      <c r="C23" s="170" t="str">
        <f ca="1">IF(LEN(A23)=0,"",INDEX('Smelter Look-up'!$C:$C,MATCH($A23,'Smelter Look-up'!$E:$E,0)))</f>
        <v>Rui Da Hung</v>
      </c>
      <c r="D23" s="213"/>
      <c r="E23" s="166" t="str">
        <f ca="1">IF(ISERROR($V23),"",OFFSET('Smelter Look-up'!$D$4,$V23-4,0)&amp;"")</f>
        <v>TAIWAN, PROVINCE OF CHINA</v>
      </c>
      <c r="F23" s="166" t="str">
        <f ca="1">IF(ISERROR($V23),"",OFFSET('Smelter Look-up'!$E$4,$V23-4,0))</f>
        <v>CID001539</v>
      </c>
      <c r="G23" s="166" t="str">
        <f ca="1">IF(C23=$X$4,IF(ISERROR($V23),"Enter smelter details","RMI"),IF(ISERROR($V23),"",OFFSET('Smelter Look-up'!$F$4,$V23-4,0)))</f>
        <v>RMI</v>
      </c>
      <c r="H23" s="167">
        <f ca="1">IF(ISERROR($V23),"",OFFSET('Smelter Look-up'!$G$4,$V23-4,0))</f>
        <v>0</v>
      </c>
      <c r="I23" s="168" t="str">
        <f ca="1">IF(ISERROR($V23),"",OFFSET('Smelter Look-up'!$H$4,$V23-4,0))</f>
        <v>Longtan Shiang Taoyuan</v>
      </c>
      <c r="J23" s="168" t="str">
        <f ca="1">IF(ISERROR($V23),"",OFFSET('Smelter Look-up'!$I$4,$V23-4,0))</f>
        <v>Taoyuan</v>
      </c>
      <c r="K23" s="207"/>
      <c r="L23" s="207"/>
      <c r="M23" s="207"/>
      <c r="N23" s="207"/>
      <c r="O23" s="207"/>
      <c r="P23" s="169"/>
      <c r="Q23" s="208"/>
      <c r="R23" s="166" t="str">
        <f ca="1">IF(ISERROR($V23),"",OFFSET('Smelter Look-up'!$C$4,$V23-4,0)&amp;"")</f>
        <v>Rui Da Hung</v>
      </c>
      <c r="S23" s="165" t="str">
        <f t="shared" ca="1" si="2"/>
        <v>TW</v>
      </c>
      <c r="T23" s="165" t="str">
        <f ca="1">IF(B23="","",IF(ISERROR(MATCH($J23,SorP!$B$1:$B$6261,0)),"",INDIRECT("'SorP'!$A$"&amp;MATCH($S23&amp;$J23,SorP!C:C,0))))</f>
        <v>TW-TAO</v>
      </c>
      <c r="U23" s="185"/>
      <c r="V23" s="209">
        <f ca="1">IF(C23="",NA(),IF(OR(C23="Smelter not listed",C23="Smelter not yet identified"),MATCH($B23&amp;$D23,'Smelter Look-up'!$J:$J,0),MATCH($B23&amp;$C23,'Smelter Look-up'!$J:$J,0)))</f>
        <v>537</v>
      </c>
      <c r="X23" s="210">
        <f t="shared" ca="1" si="3"/>
        <v>0</v>
      </c>
      <c r="AB23" s="211" t="str">
        <f t="shared" ca="1" si="4"/>
        <v>TinRui Da Hung</v>
      </c>
    </row>
    <row r="24" spans="1:28" s="210" customFormat="1" ht="20.25">
      <c r="A24" s="165" t="s">
        <v>753</v>
      </c>
      <c r="B24" s="166" t="str">
        <f ca="1">IF(LEN(A24)=0,"",INDEX('Smelter Look-up'!$A:$A,MATCH($A24,'Smelter Look-up'!$E:$E,0)))</f>
        <v>Tin</v>
      </c>
      <c r="C24" s="170" t="str">
        <f ca="1">IF(LEN(A24)=0,"",INDEX('Smelter Look-up'!$C:$C,MATCH($A24,'Smelter Look-up'!$E:$E,0)))</f>
        <v>Thaisarco</v>
      </c>
      <c r="D24" s="213"/>
      <c r="E24" s="166" t="str">
        <f ca="1">IF(ISERROR($V24),"",OFFSET('Smelter Look-up'!$D$4,$V24-4,0)&amp;"")</f>
        <v>THAILAND</v>
      </c>
      <c r="F24" s="166" t="str">
        <f ca="1">IF(ISERROR($V24),"",OFFSET('Smelter Look-up'!$E$4,$V24-4,0))</f>
        <v>CID001898</v>
      </c>
      <c r="G24" s="166" t="str">
        <f ca="1">IF(C24=$X$4,IF(ISERROR($V24),"Enter smelter details","RMI"),IF(ISERROR($V24),"",OFFSET('Smelter Look-up'!$F$4,$V24-4,0)))</f>
        <v>RMI</v>
      </c>
      <c r="H24" s="167">
        <f ca="1">IF(ISERROR($V24),"",OFFSET('Smelter Look-up'!$G$4,$V24-4,0))</f>
        <v>0</v>
      </c>
      <c r="I24" s="168" t="str">
        <f ca="1">IF(ISERROR($V24),"",OFFSET('Smelter Look-up'!$H$4,$V24-4,0))</f>
        <v>Amphur Muang</v>
      </c>
      <c r="J24" s="168" t="str">
        <f ca="1">IF(ISERROR($V24),"",OFFSET('Smelter Look-up'!$I$4,$V24-4,0))</f>
        <v>Phuket</v>
      </c>
      <c r="K24" s="207"/>
      <c r="L24" s="207"/>
      <c r="M24" s="207"/>
      <c r="N24" s="207"/>
      <c r="O24" s="207"/>
      <c r="P24" s="169"/>
      <c r="Q24" s="208"/>
      <c r="R24" s="166" t="str">
        <f ca="1">IF(ISERROR($V24),"",OFFSET('Smelter Look-up'!$C$4,$V24-4,0)&amp;"")</f>
        <v>Thaisarco</v>
      </c>
      <c r="S24" s="165" t="str">
        <f t="shared" ca="1" si="2"/>
        <v>TH</v>
      </c>
      <c r="T24" s="165" t="str">
        <f ca="1">IF(B24="","",IF(ISERROR(MATCH($J24,SorP!$B$1:$B$6261,0)),"",INDIRECT("'SorP'!$A$"&amp;MATCH($S24&amp;$J24,SorP!C:C,0))))</f>
        <v>TH-83</v>
      </c>
      <c r="U24" s="185"/>
      <c r="V24" s="209">
        <f ca="1">IF(C24="",NA(),IF(OR(C24="Smelter not listed",C24="Smelter not yet identified"),MATCH($B24&amp;$D24,'Smelter Look-up'!$J:$J,0),MATCH($B24&amp;$C24,'Smelter Look-up'!$J:$J,0)))</f>
        <v>543</v>
      </c>
      <c r="X24" s="210">
        <f t="shared" ca="1" si="3"/>
        <v>0</v>
      </c>
      <c r="AB24" s="211" t="str">
        <f t="shared" ca="1" si="4"/>
        <v>TinThaisarco</v>
      </c>
    </row>
    <row r="25" spans="1:28" s="210" customFormat="1" ht="20.25">
      <c r="A25" s="165" t="s">
        <v>754</v>
      </c>
      <c r="B25" s="166" t="str">
        <f ca="1">IF(LEN(A25)=0,"",INDEX('Smelter Look-up'!$A:$A,MATCH($A25,'Smelter Look-up'!$E:$E,0)))</f>
        <v>Tin</v>
      </c>
      <c r="C25" s="170" t="str">
        <f ca="1">IF(LEN(A25)=0,"",INDEX('Smelter Look-up'!$C:$C,MATCH($A25,'Smelter Look-up'!$E:$E,0)))</f>
        <v>White Solder Metalurgia e Mineracao Ltda.</v>
      </c>
      <c r="D25" s="213"/>
      <c r="E25" s="166" t="str">
        <f ca="1">IF(ISERROR($V25),"",OFFSET('Smelter Look-up'!$D$4,$V25-4,0)&amp;"")</f>
        <v>BRAZIL</v>
      </c>
      <c r="F25" s="166" t="str">
        <f ca="1">IF(ISERROR($V25),"",OFFSET('Smelter Look-up'!$E$4,$V25-4,0))</f>
        <v>CID002036</v>
      </c>
      <c r="G25" s="166" t="str">
        <f ca="1">IF(C25=$X$4,IF(ISERROR($V25),"Enter smelter details","RMI"),IF(ISERROR($V25),"",OFFSET('Smelter Look-up'!$F$4,$V25-4,0)))</f>
        <v>RMI</v>
      </c>
      <c r="H25" s="167">
        <f ca="1">IF(ISERROR($V25),"",OFFSET('Smelter Look-up'!$G$4,$V25-4,0))</f>
        <v>0</v>
      </c>
      <c r="I25" s="168" t="str">
        <f ca="1">IF(ISERROR($V25),"",OFFSET('Smelter Look-up'!$H$4,$V25-4,0))</f>
        <v>Ariquemes</v>
      </c>
      <c r="J25" s="168" t="str">
        <f ca="1">IF(ISERROR($V25),"",OFFSET('Smelter Look-up'!$I$4,$V25-4,0))</f>
        <v>Rondônia</v>
      </c>
      <c r="K25" s="207"/>
      <c r="L25" s="207"/>
      <c r="M25" s="207"/>
      <c r="N25" s="207"/>
      <c r="O25" s="207"/>
      <c r="P25" s="169"/>
      <c r="Q25" s="208"/>
      <c r="R25" s="166" t="str">
        <f ca="1">IF(ISERROR($V25),"",OFFSET('Smelter Look-up'!$C$4,$V25-4,0)&amp;"")</f>
        <v>White Solder Metalurgia e Mineracao Ltda.</v>
      </c>
      <c r="S25" s="165" t="str">
        <f t="shared" ca="1" si="2"/>
        <v>BR</v>
      </c>
      <c r="T25" s="165" t="str">
        <f ca="1">IF(B25="","",IF(ISERROR(MATCH($J25,SorP!$B$1:$B$6261,0)),"",INDIRECT("'SorP'!$A$"&amp;MATCH($S25&amp;$J25,SorP!C:C,0))))</f>
        <v>BR-RO</v>
      </c>
      <c r="U25" s="185"/>
      <c r="V25" s="209">
        <f ca="1">IF(C25="",NA(),IF(OR(C25="Smelter not listed",C25="Smelter not yet identified"),MATCH($B25&amp;$D25,'Smelter Look-up'!$J:$J,0),MATCH($B25&amp;$C25,'Smelter Look-up'!$J:$J,0)))</f>
        <v>551</v>
      </c>
      <c r="X25" s="210">
        <f t="shared" ca="1" si="3"/>
        <v>0</v>
      </c>
      <c r="AB25" s="211" t="str">
        <f t="shared" ca="1" si="4"/>
        <v>TinWhite Solder Metalurgia e Mineracao Ltda.</v>
      </c>
    </row>
    <row r="26" spans="1:28" s="210" customFormat="1" ht="20.25">
      <c r="A26" s="165" t="s">
        <v>756</v>
      </c>
      <c r="B26" s="166" t="str">
        <f ca="1">IF(LEN(A26)=0,"",INDEX('Smelter Look-up'!$A:$A,MATCH($A26,'Smelter Look-up'!$E:$E,0)))</f>
        <v>Tin</v>
      </c>
      <c r="C26" s="170" t="str">
        <f ca="1">IF(LEN(A26)=0,"",INDEX('Smelter Look-up'!$C:$C,MATCH($A26,'Smelter Look-up'!$E:$E,0)))</f>
        <v>Tin Smelting Branch of Yunnan Tin Co., Ltd.</v>
      </c>
      <c r="D26" s="213"/>
      <c r="E26" s="166" t="str">
        <f ca="1">IF(ISERROR($V26),"",OFFSET('Smelter Look-up'!$D$4,$V26-4,0)&amp;"")</f>
        <v>CHINA</v>
      </c>
      <c r="F26" s="166" t="str">
        <f ca="1">IF(ISERROR($V26),"",OFFSET('Smelter Look-up'!$E$4,$V26-4,0))</f>
        <v>CID002180</v>
      </c>
      <c r="G26" s="166" t="str">
        <f ca="1">IF(C26=$X$4,IF(ISERROR($V26),"Enter smelter details","RMI"),IF(ISERROR($V26),"",OFFSET('Smelter Look-up'!$F$4,$V26-4,0)))</f>
        <v>RMI</v>
      </c>
      <c r="H26" s="167">
        <f ca="1">IF(ISERROR($V26),"",OFFSET('Smelter Look-up'!$G$4,$V26-4,0))</f>
        <v>0</v>
      </c>
      <c r="I26" s="168" t="str">
        <f ca="1">IF(ISERROR($V26),"",OFFSET('Smelter Look-up'!$H$4,$V26-4,0))</f>
        <v>Gejiu</v>
      </c>
      <c r="J26" s="168" t="str">
        <f ca="1">IF(ISERROR($V26),"",OFFSET('Smelter Look-up'!$I$4,$V26-4,0))</f>
        <v>Yunnan Sheng</v>
      </c>
      <c r="K26" s="207"/>
      <c r="L26" s="207"/>
      <c r="M26" s="207"/>
      <c r="N26" s="207"/>
      <c r="O26" s="207"/>
      <c r="P26" s="169"/>
      <c r="Q26" s="208"/>
      <c r="R26" s="166" t="str">
        <f ca="1">IF(ISERROR($V26),"",OFFSET('Smelter Look-up'!$C$4,$V26-4,0)&amp;"")</f>
        <v>Tin Smelting Branch of Yunnan Tin Co., Ltd.</v>
      </c>
      <c r="S26" s="165" t="str">
        <f t="shared" ca="1" si="2"/>
        <v>CN</v>
      </c>
      <c r="T26" s="165" t="str">
        <f ca="1">IF(B26="","",IF(ISERROR(MATCH($J26,SorP!$B$1:$B$6261,0)),"",INDIRECT("'SorP'!$A$"&amp;MATCH($S26&amp;$J26,SorP!C:C,0))))</f>
        <v>CN-YN</v>
      </c>
      <c r="U26" s="185"/>
      <c r="V26" s="209">
        <f ca="1">IF(C26="",NA(),IF(OR(C26="Smelter not listed",C26="Smelter not yet identified"),MATCH($B26&amp;$D26,'Smelter Look-up'!$J:$J,0),MATCH($B26&amp;$C26,'Smelter Look-up'!$J:$J,0)))</f>
        <v>546</v>
      </c>
      <c r="X26" s="210">
        <f t="shared" ca="1" si="3"/>
        <v>0</v>
      </c>
      <c r="AB26" s="211" t="str">
        <f t="shared" ca="1" si="4"/>
        <v>TinTin Smelting Branch of Yunnan Tin Co., Ltd.</v>
      </c>
    </row>
    <row r="27" spans="1:28" s="210" customFormat="1" ht="20.25">
      <c r="A27" s="165" t="s">
        <v>131</v>
      </c>
      <c r="B27" s="166" t="str">
        <f ca="1">IF(LEN(A27)=0,"",INDEX('Smelter Look-up'!$A:$A,MATCH($A27,'Smelter Look-up'!$E:$E,0)))</f>
        <v>Tin</v>
      </c>
      <c r="C27" s="170" t="str">
        <f ca="1">IF(LEN(A27)=0,"",INDEX('Smelter Look-up'!$C:$C,MATCH($A27,'Smelter Look-up'!$E:$E,0)))</f>
        <v>Magnu's Minerais Metais e Ligas Ltda.</v>
      </c>
      <c r="D27" s="213"/>
      <c r="E27" s="166" t="str">
        <f ca="1">IF(ISERROR($V27),"",OFFSET('Smelter Look-up'!$D$4,$V27-4,0)&amp;"")</f>
        <v>BRAZIL</v>
      </c>
      <c r="F27" s="166" t="str">
        <f ca="1">IF(ISERROR($V27),"",OFFSET('Smelter Look-up'!$E$4,$V27-4,0))</f>
        <v>CID002468</v>
      </c>
      <c r="G27" s="166" t="str">
        <f ca="1">IF(C27=$X$4,IF(ISERROR($V27),"Enter smelter details","RMI"),IF(ISERROR($V27),"",OFFSET('Smelter Look-up'!$F$4,$V27-4,0)))</f>
        <v>RMI</v>
      </c>
      <c r="H27" s="167">
        <f ca="1">IF(ISERROR($V27),"",OFFSET('Smelter Look-up'!$G$4,$V27-4,0))</f>
        <v>0</v>
      </c>
      <c r="I27" s="168" t="str">
        <f ca="1">IF(ISERROR($V27),"",OFFSET('Smelter Look-up'!$H$4,$V27-4,0))</f>
        <v>São João del Rei</v>
      </c>
      <c r="J27" s="168" t="str">
        <f ca="1">IF(ISERROR($V27),"",OFFSET('Smelter Look-up'!$I$4,$V27-4,0))</f>
        <v>Minas Gerais</v>
      </c>
      <c r="K27" s="207"/>
      <c r="L27" s="207"/>
      <c r="M27" s="207"/>
      <c r="N27" s="207"/>
      <c r="O27" s="207"/>
      <c r="P27" s="169"/>
      <c r="Q27" s="208"/>
      <c r="R27" s="166" t="str">
        <f ca="1">IF(ISERROR($V27),"",OFFSET('Smelter Look-up'!$C$4,$V27-4,0)&amp;"")</f>
        <v>Magnu's Minerais Metais e Ligas Ltda.</v>
      </c>
      <c r="S27" s="165" t="str">
        <f t="shared" ca="1" si="2"/>
        <v>BR</v>
      </c>
      <c r="T27" s="165" t="str">
        <f ca="1">IF(B27="","",IF(ISERROR(MATCH($J27,SorP!$B$1:$B$6261,0)),"",INDIRECT("'SorP'!$A$"&amp;MATCH($S27&amp;$J27,SorP!C:C,0))))</f>
        <v>BR-MG</v>
      </c>
      <c r="U27" s="185"/>
      <c r="V27" s="209">
        <f ca="1">IF(C27="",NA(),IF(OR(C27="Smelter not listed",C27="Smelter not yet identified"),MATCH($B27&amp;$D27,'Smelter Look-up'!$J:$J,0),MATCH($B27&amp;$C27,'Smelter Look-up'!$J:$J,0)))</f>
        <v>490</v>
      </c>
      <c r="X27" s="210">
        <f t="shared" ca="1" si="3"/>
        <v>0</v>
      </c>
      <c r="AB27" s="211" t="str">
        <f t="shared" ca="1" si="4"/>
        <v>TinMagnu's Minerais Metais e Ligas Ltda.</v>
      </c>
    </row>
    <row r="28" spans="1:28" s="210" customFormat="1" ht="20.25">
      <c r="A28" s="165" t="s">
        <v>1356</v>
      </c>
      <c r="B28" s="166" t="str">
        <f ca="1">IF(LEN(A28)=0,"",INDEX('Smelter Look-up'!$A:$A,MATCH($A28,'Smelter Look-up'!$E:$E,0)))</f>
        <v>Tin</v>
      </c>
      <c r="C28" s="170" t="str">
        <f ca="1">IF(LEN(A28)=0,"",INDEX('Smelter Look-up'!$C:$C,MATCH($A28,'Smelter Look-up'!$E:$E,0)))</f>
        <v>PT ATD Makmur Mandiri Jaya</v>
      </c>
      <c r="D28" s="213"/>
      <c r="E28" s="166" t="str">
        <f ca="1">IF(ISERROR($V28),"",OFFSET('Smelter Look-up'!$D$4,$V28-4,0)&amp;"")</f>
        <v>INDONESIA</v>
      </c>
      <c r="F28" s="166" t="str">
        <f ca="1">IF(ISERROR($V28),"",OFFSET('Smelter Look-up'!$E$4,$V28-4,0))</f>
        <v>CID002503</v>
      </c>
      <c r="G28" s="166" t="str">
        <f ca="1">IF(C28=$X$4,IF(ISERROR($V28),"Enter smelter details","RMI"),IF(ISERROR($V28),"",OFFSET('Smelter Look-up'!$F$4,$V28-4,0)))</f>
        <v>RMI</v>
      </c>
      <c r="H28" s="167">
        <f ca="1">IF(ISERROR($V28),"",OFFSET('Smelter Look-up'!$G$4,$V28-4,0))</f>
        <v>0</v>
      </c>
      <c r="I28" s="168" t="str">
        <f ca="1">IF(ISERROR($V28),"",OFFSET('Smelter Look-up'!$H$4,$V28-4,0))</f>
        <v>Sungailiat</v>
      </c>
      <c r="J28" s="168" t="str">
        <f ca="1">IF(ISERROR($V28),"",OFFSET('Smelter Look-up'!$I$4,$V28-4,0))</f>
        <v>Kepulauan Bangka Belitung</v>
      </c>
      <c r="K28" s="207"/>
      <c r="L28" s="207"/>
      <c r="M28" s="207"/>
      <c r="N28" s="207"/>
      <c r="O28" s="207"/>
      <c r="P28" s="169"/>
      <c r="Q28" s="208"/>
      <c r="R28" s="166" t="str">
        <f ca="1">IF(ISERROR($V28),"",OFFSET('Smelter Look-up'!$C$4,$V28-4,0)&amp;"")</f>
        <v>PT ATD Makmur Mandiri Jaya</v>
      </c>
      <c r="S28" s="165" t="str">
        <f t="shared" ca="1" si="2"/>
        <v>ID</v>
      </c>
      <c r="T28" s="165" t="str">
        <f ca="1">IF(B28="","",IF(ISERROR(MATCH($J28,SorP!$B$1:$B$6261,0)),"",INDIRECT("'SorP'!$A$"&amp;MATCH($S28&amp;$J28,SorP!C:C,0))))</f>
        <v>ID-BB</v>
      </c>
      <c r="U28" s="185"/>
      <c r="V28" s="209">
        <f ca="1">IF(C28="",NA(),IF(OR(C28="Smelter not listed",C28="Smelter not yet identified"),MATCH($B28&amp;$D28,'Smelter Look-up'!$J:$J,0),MATCH($B28&amp;$C28,'Smelter Look-up'!$J:$J,0)))</f>
        <v>520</v>
      </c>
      <c r="X28" s="210">
        <f t="shared" ca="1" si="3"/>
        <v>0</v>
      </c>
      <c r="AB28" s="211" t="str">
        <f t="shared" ca="1" si="4"/>
        <v>TinPT ATD Makmur Mandiri Jaya</v>
      </c>
    </row>
    <row r="29" spans="1:28" s="210" customFormat="1" ht="20.25">
      <c r="A29" s="165" t="s">
        <v>15179</v>
      </c>
      <c r="B29" s="166" t="str">
        <f ca="1">IF(LEN(A29)=0,"",INDEX('Smelter Look-up'!$A:$A,MATCH($A29,'Smelter Look-up'!$E:$E,0)))</f>
        <v>Tin</v>
      </c>
      <c r="C29" s="170" t="str">
        <f ca="1">IF(LEN(A29)=0,"",INDEX('Smelter Look-up'!$C:$C,MATCH($A29,'Smelter Look-up'!$E:$E,0)))</f>
        <v>PT Rajehan Ariq</v>
      </c>
      <c r="D29" s="213"/>
      <c r="E29" s="166" t="str">
        <f ca="1">IF(ISERROR($V29),"",OFFSET('Smelter Look-up'!$D$4,$V29-4,0)&amp;"")</f>
        <v>INDONESIA</v>
      </c>
      <c r="F29" s="166" t="str">
        <f ca="1">IF(ISERROR($V29),"",OFFSET('Smelter Look-up'!$E$4,$V29-4,0))</f>
        <v>CID002593</v>
      </c>
      <c r="G29" s="166" t="str">
        <f ca="1">IF(C29=$X$4,IF(ISERROR($V29),"Enter smelter details","RMI"),IF(ISERROR($V29),"",OFFSET('Smelter Look-up'!$F$4,$V29-4,0)))</f>
        <v>RMI</v>
      </c>
      <c r="H29" s="167">
        <f ca="1">IF(ISERROR($V29),"",OFFSET('Smelter Look-up'!$G$4,$V29-4,0))</f>
        <v>0</v>
      </c>
      <c r="I29" s="168" t="str">
        <f ca="1">IF(ISERROR($V29),"",OFFSET('Smelter Look-up'!$H$4,$V29-4,0))</f>
        <v>Pangkal Pinang</v>
      </c>
      <c r="J29" s="168" t="str">
        <f ca="1">IF(ISERROR($V29),"",OFFSET('Smelter Look-up'!$I$4,$V29-4,0))</f>
        <v>Kepulauan Bangka Belitung</v>
      </c>
      <c r="K29" s="207"/>
      <c r="L29" s="207"/>
      <c r="M29" s="207"/>
      <c r="N29" s="207"/>
      <c r="O29" s="207"/>
      <c r="P29" s="169"/>
      <c r="Q29" s="208"/>
      <c r="R29" s="166" t="str">
        <f ca="1">IF(ISERROR($V29),"",OFFSET('Smelter Look-up'!$C$4,$V29-4,0)&amp;"")</f>
        <v>PT Rajehan Ariq</v>
      </c>
      <c r="S29" s="165" t="str">
        <f t="shared" ca="1" si="2"/>
        <v>ID</v>
      </c>
      <c r="T29" s="165" t="str">
        <f ca="1">IF(B29="","",IF(ISERROR(MATCH($J29,SorP!$B$1:$B$6261,0)),"",INDIRECT("'SorP'!$A$"&amp;MATCH($S29&amp;$J29,SorP!C:C,0))))</f>
        <v>ID-BB</v>
      </c>
      <c r="U29" s="185"/>
      <c r="V29" s="209">
        <f ca="1">IF(C29="",NA(),IF(OR(C29="Smelter not listed",C29="Smelter not yet identified"),MATCH($B29&amp;$D29,'Smelter Look-up'!$J:$J,0),MATCH($B29&amp;$C29,'Smelter Look-up'!$J:$J,0)))</f>
        <v>529</v>
      </c>
      <c r="X29" s="210">
        <f t="shared" ca="1" si="3"/>
        <v>0</v>
      </c>
      <c r="AB29" s="211" t="str">
        <f t="shared" ca="1" si="4"/>
        <v>TinPT Rajehan Ariq</v>
      </c>
    </row>
    <row r="30" spans="1:28" s="210" customFormat="1" ht="20.25">
      <c r="A30" s="165" t="s">
        <v>14870</v>
      </c>
      <c r="B30" s="166" t="str">
        <f ca="1">IF(LEN(A30)=0,"",INDEX('Smelter Look-up'!$A:$A,MATCH($A30,'Smelter Look-up'!$E:$E,0)))</f>
        <v>Tin</v>
      </c>
      <c r="C30" s="170" t="str">
        <f ca="1">IF(LEN(A30)=0,"",INDEX('Smelter Look-up'!$C:$C,MATCH($A30,'Smelter Look-up'!$E:$E,0)))</f>
        <v>PT Cipta Persada Mulia</v>
      </c>
      <c r="D30" s="213"/>
      <c r="E30" s="166" t="str">
        <f ca="1">IF(ISERROR($V30),"",OFFSET('Smelter Look-up'!$D$4,$V30-4,0)&amp;"")</f>
        <v>INDONESIA</v>
      </c>
      <c r="F30" s="166" t="str">
        <f ca="1">IF(ISERROR($V30),"",OFFSET('Smelter Look-up'!$E$4,$V30-4,0))</f>
        <v>CID002696</v>
      </c>
      <c r="G30" s="166" t="str">
        <f ca="1">IF(C30=$X$4,IF(ISERROR($V30),"Enter smelter details","RMI"),IF(ISERROR($V30),"",OFFSET('Smelter Look-up'!$F$4,$V30-4,0)))</f>
        <v>RMI</v>
      </c>
      <c r="H30" s="167">
        <f ca="1">IF(ISERROR($V30),"",OFFSET('Smelter Look-up'!$G$4,$V30-4,0))</f>
        <v>0</v>
      </c>
      <c r="I30" s="168" t="str">
        <f ca="1">IF(ISERROR($V30),"",OFFSET('Smelter Look-up'!$H$4,$V30-4,0))</f>
        <v>Batam</v>
      </c>
      <c r="J30" s="168" t="str">
        <f ca="1">IF(ISERROR($V30),"",OFFSET('Smelter Look-up'!$I$4,$V30-4,0))</f>
        <v>Kepulauan Riau</v>
      </c>
      <c r="K30" s="207"/>
      <c r="L30" s="207"/>
      <c r="M30" s="207"/>
      <c r="N30" s="207"/>
      <c r="O30" s="207"/>
      <c r="P30" s="169"/>
      <c r="Q30" s="208"/>
      <c r="R30" s="166" t="str">
        <f ca="1">IF(ISERROR($V30),"",OFFSET('Smelter Look-up'!$C$4,$V30-4,0)&amp;"")</f>
        <v>PT Cipta Persada Mulia</v>
      </c>
      <c r="S30" s="165" t="str">
        <f t="shared" ca="1" si="2"/>
        <v>ID</v>
      </c>
      <c r="T30" s="165" t="str">
        <f ca="1">IF(B30="","",IF(ISERROR(MATCH($J30,SorP!$B$1:$B$6261,0)),"",INDIRECT("'SorP'!$A$"&amp;MATCH($S30&amp;$J30,SorP!C:C,0))))</f>
        <v>ID-KR</v>
      </c>
      <c r="U30" s="185"/>
      <c r="V30" s="209">
        <f ca="1">IF(C30="",NA(),IF(OR(C30="Smelter not listed",C30="Smelter not yet identified"),MATCH($B30&amp;$D30,'Smelter Look-up'!$J:$J,0),MATCH($B30&amp;$C30,'Smelter Look-up'!$J:$J,0)))</f>
        <v>522</v>
      </c>
      <c r="X30" s="210">
        <f t="shared" ca="1" si="3"/>
        <v>0</v>
      </c>
      <c r="AB30" s="211" t="str">
        <f t="shared" ca="1" si="4"/>
        <v>TinPT Cipta Persada Mulia</v>
      </c>
    </row>
    <row r="31" spans="1:28" s="210" customFormat="1" ht="20.25">
      <c r="A31" s="165" t="s">
        <v>2421</v>
      </c>
      <c r="B31" s="166" t="str">
        <f ca="1">IF(LEN(A31)=0,"",INDEX('Smelter Look-up'!$A:$A,MATCH($A31,'Smelter Look-up'!$E:$E,0)))</f>
        <v>Tin</v>
      </c>
      <c r="C31" s="170" t="str">
        <f ca="1">IF(LEN(A31)=0,"",INDEX('Smelter Look-up'!$C:$C,MATCH($A31,'Smelter Look-up'!$E:$E,0)))</f>
        <v>Super Ligas</v>
      </c>
      <c r="D31" s="213"/>
      <c r="E31" s="166" t="str">
        <f ca="1">IF(ISERROR($V31),"",OFFSET('Smelter Look-up'!$D$4,$V31-4,0)&amp;"")</f>
        <v>BRAZIL</v>
      </c>
      <c r="F31" s="166" t="str">
        <f ca="1">IF(ISERROR($V31),"",OFFSET('Smelter Look-up'!$E$4,$V31-4,0))</f>
        <v>CID002756</v>
      </c>
      <c r="G31" s="166" t="str">
        <f ca="1">IF(C31=$X$4,IF(ISERROR($V31),"Enter smelter details","RMI"),IF(ISERROR($V31),"",OFFSET('Smelter Look-up'!$F$4,$V31-4,0)))</f>
        <v>RMI</v>
      </c>
      <c r="H31" s="167">
        <f ca="1">IF(ISERROR($V31),"",OFFSET('Smelter Look-up'!$G$4,$V31-4,0))</f>
        <v>0</v>
      </c>
      <c r="I31" s="168" t="str">
        <f ca="1">IF(ISERROR($V31),"",OFFSET('Smelter Look-up'!$H$4,$V31-4,0))</f>
        <v>Piracicaba</v>
      </c>
      <c r="J31" s="168" t="str">
        <f ca="1">IF(ISERROR($V31),"",OFFSET('Smelter Look-up'!$I$4,$V31-4,0))</f>
        <v>São Paulo</v>
      </c>
      <c r="K31" s="207"/>
      <c r="L31" s="207"/>
      <c r="M31" s="207"/>
      <c r="N31" s="207"/>
      <c r="O31" s="207"/>
      <c r="P31" s="169"/>
      <c r="Q31" s="208"/>
      <c r="R31" s="166" t="str">
        <f ca="1">IF(ISERROR($V31),"",OFFSET('Smelter Look-up'!$C$4,$V31-4,0)&amp;"")</f>
        <v>Super Ligas</v>
      </c>
      <c r="S31" s="165" t="str">
        <f t="shared" ca="1" si="2"/>
        <v>BR</v>
      </c>
      <c r="T31" s="165" t="str">
        <f ca="1">IF(B31="","",IF(ISERROR(MATCH($J31,SorP!$B$1:$B$6261,0)),"",INDIRECT("'SorP'!$A$"&amp;MATCH($S31&amp;$J31,SorP!C:C,0))))</f>
        <v>BR-SP</v>
      </c>
      <c r="U31" s="185"/>
      <c r="V31" s="209">
        <f ca="1">IF(C31="",NA(),IF(OR(C31="Smelter not listed",C31="Smelter not yet identified"),MATCH($B31&amp;$D31,'Smelter Look-up'!$J:$J,0),MATCH($B31&amp;$C31,'Smelter Look-up'!$J:$J,0)))</f>
        <v>539</v>
      </c>
      <c r="X31" s="210">
        <f t="shared" ca="1" si="3"/>
        <v>0</v>
      </c>
      <c r="AB31" s="211" t="str">
        <f t="shared" ca="1" si="4"/>
        <v>TinSuper Ligas</v>
      </c>
    </row>
    <row r="32" spans="1:28" s="210" customFormat="1" ht="20.25">
      <c r="A32" s="165" t="s">
        <v>1728</v>
      </c>
      <c r="B32" s="166" t="str">
        <f ca="1">IF(LEN(A32)=0,"",INDEX('Smelter Look-up'!$A:$A,MATCH($A32,'Smelter Look-up'!$E:$E,0)))</f>
        <v>Tin</v>
      </c>
      <c r="C32" s="170" t="str">
        <f ca="1">IF(LEN(A32)=0,"",INDEX('Smelter Look-up'!$C:$C,MATCH($A32,'Smelter Look-up'!$E:$E,0)))</f>
        <v>Aurubis Beerse</v>
      </c>
      <c r="D32" s="213"/>
      <c r="E32" s="166" t="str">
        <f ca="1">IF(ISERROR($V32),"",OFFSET('Smelter Look-up'!$D$4,$V32-4,0)&amp;"")</f>
        <v>BELGIUM</v>
      </c>
      <c r="F32" s="166" t="str">
        <f ca="1">IF(ISERROR($V32),"",OFFSET('Smelter Look-up'!$E$4,$V32-4,0))</f>
        <v>CID002773</v>
      </c>
      <c r="G32" s="166" t="str">
        <f ca="1">IF(C32=$X$4,IF(ISERROR($V32),"Enter smelter details","RMI"),IF(ISERROR($V32),"",OFFSET('Smelter Look-up'!$F$4,$V32-4,0)))</f>
        <v>RMI</v>
      </c>
      <c r="H32" s="167">
        <f ca="1">IF(ISERROR($V32),"",OFFSET('Smelter Look-up'!$G$4,$V32-4,0))</f>
        <v>0</v>
      </c>
      <c r="I32" s="168" t="str">
        <f ca="1">IF(ISERROR($V32),"",OFFSET('Smelter Look-up'!$H$4,$V32-4,0))</f>
        <v>Beerse</v>
      </c>
      <c r="J32" s="168" t="str">
        <f ca="1">IF(ISERROR($V32),"",OFFSET('Smelter Look-up'!$I$4,$V32-4,0))</f>
        <v>Antwerpen</v>
      </c>
      <c r="K32" s="207"/>
      <c r="L32" s="207"/>
      <c r="M32" s="207"/>
      <c r="N32" s="207"/>
      <c r="O32" s="207"/>
      <c r="P32" s="169"/>
      <c r="Q32" s="208"/>
      <c r="R32" s="166" t="str">
        <f ca="1">IF(ISERROR($V32),"",OFFSET('Smelter Look-up'!$C$4,$V32-4,0)&amp;"")</f>
        <v>Aurubis Beerse</v>
      </c>
      <c r="S32" s="165" t="str">
        <f t="shared" ca="1" si="2"/>
        <v>BE</v>
      </c>
      <c r="T32" s="165" t="str">
        <f ca="1">IF(B32="","",IF(ISERROR(MATCH($J32,SorP!$B$1:$B$6261,0)),"",INDIRECT("'SorP'!$A$"&amp;MATCH($S32&amp;$J32,SorP!C:C,0))))</f>
        <v>BE-VAN</v>
      </c>
      <c r="U32" s="185"/>
      <c r="V32" s="209">
        <f ca="1">IF(C32="",NA(),IF(OR(C32="Smelter not listed",C32="Smelter not yet identified"),MATCH($B32&amp;$D32,'Smelter Look-up'!$J:$J,0),MATCH($B32&amp;$C32,'Smelter Look-up'!$J:$J,0)))</f>
        <v>423</v>
      </c>
      <c r="X32" s="210">
        <f t="shared" ca="1" si="3"/>
        <v>0</v>
      </c>
      <c r="AB32" s="211" t="str">
        <f t="shared" ca="1" si="4"/>
        <v>TinAurubis Beerse</v>
      </c>
    </row>
    <row r="33" spans="1:28" s="210" customFormat="1" ht="20.25">
      <c r="A33" s="165" t="s">
        <v>1730</v>
      </c>
      <c r="B33" s="166" t="str">
        <f ca="1">IF(LEN(A33)=0,"",INDEX('Smelter Look-up'!$A:$A,MATCH($A33,'Smelter Look-up'!$E:$E,0)))</f>
        <v>Tin</v>
      </c>
      <c r="C33" s="170" t="str">
        <f ca="1">IF(LEN(A33)=0,"",INDEX('Smelter Look-up'!$C:$C,MATCH($A33,'Smelter Look-up'!$E:$E,0)))</f>
        <v>Aurubis Berango</v>
      </c>
      <c r="D33" s="213"/>
      <c r="E33" s="166" t="str">
        <f ca="1">IF(ISERROR($V33),"",OFFSET('Smelter Look-up'!$D$4,$V33-4,0)&amp;"")</f>
        <v>SPAIN</v>
      </c>
      <c r="F33" s="166" t="str">
        <f ca="1">IF(ISERROR($V33),"",OFFSET('Smelter Look-up'!$E$4,$V33-4,0))</f>
        <v>CID002774</v>
      </c>
      <c r="G33" s="166" t="str">
        <f ca="1">IF(C33=$X$4,IF(ISERROR($V33),"Enter smelter details","RMI"),IF(ISERROR($V33),"",OFFSET('Smelter Look-up'!$F$4,$V33-4,0)))</f>
        <v>RMI</v>
      </c>
      <c r="H33" s="167">
        <f ca="1">IF(ISERROR($V33),"",OFFSET('Smelter Look-up'!$G$4,$V33-4,0))</f>
        <v>0</v>
      </c>
      <c r="I33" s="168" t="str">
        <f ca="1">IF(ISERROR($V33),"",OFFSET('Smelter Look-up'!$H$4,$V33-4,0))</f>
        <v>Berango</v>
      </c>
      <c r="J33" s="168" t="str">
        <f ca="1">IF(ISERROR($V33),"",OFFSET('Smelter Look-up'!$I$4,$V33-4,0))</f>
        <v>Bizkaia</v>
      </c>
      <c r="K33" s="207"/>
      <c r="L33" s="207"/>
      <c r="M33" s="207"/>
      <c r="N33" s="207"/>
      <c r="O33" s="207"/>
      <c r="P33" s="169"/>
      <c r="Q33" s="208"/>
      <c r="R33" s="166" t="str">
        <f ca="1">IF(ISERROR($V33),"",OFFSET('Smelter Look-up'!$C$4,$V33-4,0)&amp;"")</f>
        <v>Aurubis Berango</v>
      </c>
      <c r="S33" s="165" t="str">
        <f t="shared" ca="1" si="2"/>
        <v>ES</v>
      </c>
      <c r="T33" s="165" t="str">
        <f ca="1">IF(B33="","",IF(ISERROR(MATCH($J33,SorP!$B$1:$B$6261,0)),"",INDIRECT("'SorP'!$A$"&amp;MATCH($S33&amp;$J33,SorP!C:C,0))))</f>
        <v>ES-BI</v>
      </c>
      <c r="U33" s="185"/>
      <c r="V33" s="209">
        <f ca="1">IF(C33="",NA(),IF(OR(C33="Smelter not listed",C33="Smelter not yet identified"),MATCH($B33&amp;$D33,'Smelter Look-up'!$J:$J,0),MATCH($B33&amp;$C33,'Smelter Look-up'!$J:$J,0)))</f>
        <v>425</v>
      </c>
      <c r="X33" s="210">
        <f t="shared" ca="1" si="3"/>
        <v>0</v>
      </c>
      <c r="AB33" s="211" t="str">
        <f t="shared" ca="1" si="4"/>
        <v>TinAurubis Berango</v>
      </c>
    </row>
    <row r="34" spans="1:28" s="210" customFormat="1" ht="20.25">
      <c r="A34" s="165" t="s">
        <v>14907</v>
      </c>
      <c r="B34" s="166" t="str">
        <f ca="1">IF(LEN(A34)=0,"",INDEX('Smelter Look-up'!$A:$A,MATCH($A34,'Smelter Look-up'!$E:$E,0)))</f>
        <v>Tin</v>
      </c>
      <c r="C34" s="170" t="str">
        <f ca="1">IF(LEN(A34)=0,"",INDEX('Smelter Look-up'!$C:$C,MATCH($A34,'Smelter Look-up'!$E:$E,0)))</f>
        <v>PT Bangka Prima Tin</v>
      </c>
      <c r="D34" s="213"/>
      <c r="E34" s="166" t="str">
        <f ca="1">IF(ISERROR($V34),"",OFFSET('Smelter Look-up'!$D$4,$V34-4,0)&amp;"")</f>
        <v>INDONESIA</v>
      </c>
      <c r="F34" s="166" t="str">
        <f ca="1">IF(ISERROR($V34),"",OFFSET('Smelter Look-up'!$E$4,$V34-4,0))</f>
        <v>CID002776</v>
      </c>
      <c r="G34" s="166" t="str">
        <f ca="1">IF(C34=$X$4,IF(ISERROR($V34),"Enter smelter details","RMI"),IF(ISERROR($V34),"",OFFSET('Smelter Look-up'!$F$4,$V34-4,0)))</f>
        <v>RMI</v>
      </c>
      <c r="H34" s="167">
        <f ca="1">IF(ISERROR($V34),"",OFFSET('Smelter Look-up'!$G$4,$V34-4,0))</f>
        <v>0</v>
      </c>
      <c r="I34" s="168" t="str">
        <f ca="1">IF(ISERROR($V34),"",OFFSET('Smelter Look-up'!$H$4,$V34-4,0))</f>
        <v>Air Mesu</v>
      </c>
      <c r="J34" s="168" t="str">
        <f ca="1">IF(ISERROR($V34),"",OFFSET('Smelter Look-up'!$I$4,$V34-4,0))</f>
        <v>Kepulauan Bangka Belitung</v>
      </c>
      <c r="K34" s="207"/>
      <c r="L34" s="207"/>
      <c r="M34" s="207"/>
      <c r="N34" s="207"/>
      <c r="O34" s="207"/>
      <c r="P34" s="169"/>
      <c r="Q34" s="208"/>
      <c r="R34" s="166" t="str">
        <f ca="1">IF(ISERROR($V34),"",OFFSET('Smelter Look-up'!$C$4,$V34-4,0)&amp;"")</f>
        <v>PT Bangka Prima Tin</v>
      </c>
      <c r="S34" s="165" t="str">
        <f t="shared" ca="1" si="2"/>
        <v>ID</v>
      </c>
      <c r="T34" s="165" t="str">
        <f ca="1">IF(B34="","",IF(ISERROR(MATCH($J34,SorP!$B$1:$B$6261,0)),"",INDIRECT("'SorP'!$A$"&amp;MATCH($S34&amp;$J34,SorP!C:C,0))))</f>
        <v>ID-BB</v>
      </c>
      <c r="U34" s="185"/>
      <c r="V34" s="209">
        <f ca="1">IF(C34="",NA(),IF(OR(C34="Smelter not listed",C34="Smelter not yet identified"),MATCH($B34&amp;$D34,'Smelter Look-up'!$J:$J,0),MATCH($B34&amp;$C34,'Smelter Look-up'!$J:$J,0)))</f>
        <v>521</v>
      </c>
      <c r="X34" s="210">
        <f t="shared" ca="1" si="3"/>
        <v>0</v>
      </c>
      <c r="AB34" s="211" t="str">
        <f t="shared" ca="1" si="4"/>
        <v>TinPT Bangka Prima Tin</v>
      </c>
    </row>
    <row r="35" spans="1:28" s="210" customFormat="1" ht="20.25">
      <c r="A35" s="165" t="s">
        <v>2419</v>
      </c>
      <c r="B35" s="166" t="str">
        <f ca="1">IF(LEN(A35)=0,"",INDEX('Smelter Look-up'!$A:$A,MATCH($A35,'Smelter Look-up'!$E:$E,0)))</f>
        <v>Tin</v>
      </c>
      <c r="C35" s="170" t="str">
        <f ca="1">IF(LEN(A35)=0,"",INDEX('Smelter Look-up'!$C:$C,MATCH($A35,'Smelter Look-up'!$E:$E,0)))</f>
        <v>Guangdong Hanhe Non-Ferrous Metal Co., Ltd.</v>
      </c>
      <c r="D35" s="213"/>
      <c r="E35" s="166" t="str">
        <f ca="1">IF(ISERROR($V35),"",OFFSET('Smelter Look-up'!$D$4,$V35-4,0)&amp;"")</f>
        <v>CHINA</v>
      </c>
      <c r="F35" s="166" t="str">
        <f ca="1">IF(ISERROR($V35),"",OFFSET('Smelter Look-up'!$E$4,$V35-4,0))</f>
        <v>CID003116</v>
      </c>
      <c r="G35" s="166" t="str">
        <f ca="1">IF(C35=$X$4,IF(ISERROR($V35),"Enter smelter details","RMI"),IF(ISERROR($V35),"",OFFSET('Smelter Look-up'!$F$4,$V35-4,0)))</f>
        <v>RMI</v>
      </c>
      <c r="H35" s="167">
        <f ca="1">IF(ISERROR($V35),"",OFFSET('Smelter Look-up'!$G$4,$V35-4,0))</f>
        <v>0</v>
      </c>
      <c r="I35" s="168" t="str">
        <f ca="1">IF(ISERROR($V35),"",OFFSET('Smelter Look-up'!$H$4,$V35-4,0))</f>
        <v>Chaozhou</v>
      </c>
      <c r="J35" s="168" t="str">
        <f ca="1">IF(ISERROR($V35),"",OFFSET('Smelter Look-up'!$I$4,$V35-4,0))</f>
        <v>Guangdong Sheng</v>
      </c>
      <c r="K35" s="207"/>
      <c r="L35" s="207"/>
      <c r="M35" s="207"/>
      <c r="N35" s="207"/>
      <c r="O35" s="207"/>
      <c r="P35" s="169"/>
      <c r="Q35" s="208"/>
      <c r="R35" s="166" t="str">
        <f ca="1">IF(ISERROR($V35),"",OFFSET('Smelter Look-up'!$C$4,$V35-4,0)&amp;"")</f>
        <v>Guangdong Hanhe Non-Ferrous Metal Co., Ltd.</v>
      </c>
      <c r="S35" s="165" t="str">
        <f t="shared" ca="1" si="2"/>
        <v>CN</v>
      </c>
      <c r="T35" s="165" t="str">
        <f ca="1">IF(B35="","",IF(ISERROR(MATCH($J35,SorP!$B$1:$B$6261,0)),"",INDIRECT("'SorP'!$A$"&amp;MATCH($S35&amp;$J35,SorP!C:C,0))))</f>
        <v>CN-GD</v>
      </c>
      <c r="U35" s="185"/>
      <c r="V35" s="209">
        <f ca="1">IF(C35="",NA(),IF(OR(C35="Smelter not listed",C35="Smelter not yet identified"),MATCH($B35&amp;$D35,'Smelter Look-up'!$J:$J,0),MATCH($B35&amp;$C35,'Smelter Look-up'!$J:$J,0)))</f>
        <v>475</v>
      </c>
      <c r="X35" s="210">
        <f t="shared" ca="1" si="3"/>
        <v>0</v>
      </c>
      <c r="AB35" s="211" t="str">
        <f t="shared" ca="1" si="4"/>
        <v>TinGuangdong Hanhe Non-Ferrous Metal Co., Ltd.</v>
      </c>
    </row>
    <row r="36" spans="1:28" s="210" customFormat="1" ht="20.25">
      <c r="A36" s="165" t="s">
        <v>12470</v>
      </c>
      <c r="B36" s="166" t="str">
        <f ca="1">IF(LEN(A36)=0,"",INDEX('Smelter Look-up'!$A:$A,MATCH($A36,'Smelter Look-up'!$E:$E,0)))</f>
        <v>Tin</v>
      </c>
      <c r="C36" s="170" t="str">
        <f ca="1">IF(LEN(A36)=0,"",INDEX('Smelter Look-up'!$C:$C,MATCH($A36,'Smelter Look-up'!$E:$E,0)))</f>
        <v>Chifeng Dajingzi Tin Industry Co., Ltd.</v>
      </c>
      <c r="D36" s="213"/>
      <c r="E36" s="166" t="str">
        <f ca="1">IF(ISERROR($V36),"",OFFSET('Smelter Look-up'!$D$4,$V36-4,0)&amp;"")</f>
        <v>CHINA</v>
      </c>
      <c r="F36" s="166" t="str">
        <f ca="1">IF(ISERROR($V36),"",OFFSET('Smelter Look-up'!$E$4,$V36-4,0))</f>
        <v>CID003190</v>
      </c>
      <c r="G36" s="166" t="str">
        <f ca="1">IF(C36=$X$4,IF(ISERROR($V36),"Enter smelter details","RMI"),IF(ISERROR($V36),"",OFFSET('Smelter Look-up'!$F$4,$V36-4,0)))</f>
        <v>RMI</v>
      </c>
      <c r="H36" s="167">
        <f ca="1">IF(ISERROR($V36),"",OFFSET('Smelter Look-up'!$G$4,$V36-4,0))</f>
        <v>0</v>
      </c>
      <c r="I36" s="168" t="str">
        <f ca="1">IF(ISERROR($V36),"",OFFSET('Smelter Look-up'!$H$4,$V36-4,0))</f>
        <v>Chifeng</v>
      </c>
      <c r="J36" s="168" t="str">
        <f ca="1">IF(ISERROR($V36),"",OFFSET('Smelter Look-up'!$I$4,$V36-4,0))</f>
        <v>Nei Mongol Zizhiqu</v>
      </c>
      <c r="K36" s="207"/>
      <c r="L36" s="207"/>
      <c r="M36" s="207"/>
      <c r="N36" s="207"/>
      <c r="O36" s="207"/>
      <c r="P36" s="169"/>
      <c r="Q36" s="208"/>
      <c r="R36" s="166" t="str">
        <f ca="1">IF(ISERROR($V36),"",OFFSET('Smelter Look-up'!$C$4,$V36-4,0)&amp;"")</f>
        <v>Chifeng Dajingzi Tin Industry Co., Ltd.</v>
      </c>
      <c r="S36" s="165" t="str">
        <f t="shared" ca="1" si="2"/>
        <v>CN</v>
      </c>
      <c r="T36" s="165" t="str">
        <f ca="1">IF(B36="","",IF(ISERROR(MATCH($J36,SorP!$B$1:$B$6261,0)),"",INDIRECT("'SorP'!$A$"&amp;MATCH($S36&amp;$J36,SorP!C:C,0))))</f>
        <v>CN-NM</v>
      </c>
      <c r="U36" s="185"/>
      <c r="V36" s="209">
        <f ca="1">IF(C36="",NA(),IF(OR(C36="Smelter not listed",C36="Smelter not yet identified"),MATCH($B36&amp;$D36,'Smelter Look-up'!$J:$J,0),MATCH($B36&amp;$C36,'Smelter Look-up'!$J:$J,0)))</f>
        <v>429</v>
      </c>
      <c r="X36" s="210">
        <f t="shared" ca="1" si="3"/>
        <v>0</v>
      </c>
      <c r="AB36" s="211" t="str">
        <f t="shared" ca="1" si="4"/>
        <v>TinChifeng Dajingzi Tin Industry Co., Ltd.</v>
      </c>
    </row>
    <row r="37" spans="1:28" s="210" customFormat="1" ht="20.25">
      <c r="A37" s="165" t="s">
        <v>12709</v>
      </c>
      <c r="B37" s="166" t="str">
        <f ca="1">IF(LEN(A37)=0,"",INDEX('Smelter Look-up'!$A:$A,MATCH($A37,'Smelter Look-up'!$E:$E,0)))</f>
        <v>Tin</v>
      </c>
      <c r="C37" s="170" t="str">
        <f ca="1">IF(LEN(A37)=0,"",INDEX('Smelter Look-up'!$C:$C,MATCH($A37,'Smelter Look-up'!$E:$E,0)))</f>
        <v>Tin Technology &amp; Refining</v>
      </c>
      <c r="D37" s="213"/>
      <c r="E37" s="166" t="str">
        <f ca="1">IF(ISERROR($V37),"",OFFSET('Smelter Look-up'!$D$4,$V37-4,0)&amp;"")</f>
        <v>UNITED STATES OF AMERICA</v>
      </c>
      <c r="F37" s="166" t="str">
        <f ca="1">IF(ISERROR($V37),"",OFFSET('Smelter Look-up'!$E$4,$V37-4,0))</f>
        <v>CID003325</v>
      </c>
      <c r="G37" s="166" t="str">
        <f ca="1">IF(C37=$X$4,IF(ISERROR($V37),"Enter smelter details","RMI"),IF(ISERROR($V37),"",OFFSET('Smelter Look-up'!$F$4,$V37-4,0)))</f>
        <v>RMI</v>
      </c>
      <c r="H37" s="167">
        <f ca="1">IF(ISERROR($V37),"",OFFSET('Smelter Look-up'!$G$4,$V37-4,0))</f>
        <v>0</v>
      </c>
      <c r="I37" s="168" t="str">
        <f ca="1">IF(ISERROR($V37),"",OFFSET('Smelter Look-up'!$H$4,$V37-4,0))</f>
        <v>West Chester</v>
      </c>
      <c r="J37" s="168" t="str">
        <f ca="1">IF(ISERROR($V37),"",OFFSET('Smelter Look-up'!$I$4,$V37-4,0))</f>
        <v>Pennsylvania</v>
      </c>
      <c r="K37" s="207"/>
      <c r="L37" s="207"/>
      <c r="M37" s="207"/>
      <c r="N37" s="207"/>
      <c r="O37" s="207"/>
      <c r="P37" s="169"/>
      <c r="Q37" s="208"/>
      <c r="R37" s="166" t="str">
        <f ca="1">IF(ISERROR($V37),"",OFFSET('Smelter Look-up'!$C$4,$V37-4,0)&amp;"")</f>
        <v>Tin Technology &amp; Refining</v>
      </c>
      <c r="S37" s="165" t="str">
        <f t="shared" ca="1" si="2"/>
        <v>US</v>
      </c>
      <c r="T37" s="165" t="str">
        <f ca="1">IF(B37="","",IF(ISERROR(MATCH($J37,SorP!$B$1:$B$6261,0)),"",INDIRECT("'SorP'!$A$"&amp;MATCH($S37&amp;$J37,SorP!C:C,0))))</f>
        <v>US-PA</v>
      </c>
      <c r="U37" s="185"/>
      <c r="V37" s="209">
        <f ca="1">IF(C37="",NA(),IF(OR(C37="Smelter not listed",C37="Smelter not yet identified"),MATCH($B37&amp;$D37,'Smelter Look-up'!$J:$J,0),MATCH($B37&amp;$C37,'Smelter Look-up'!$J:$J,0)))</f>
        <v>547</v>
      </c>
      <c r="X37" s="210">
        <f t="shared" ca="1" si="3"/>
        <v>0</v>
      </c>
      <c r="AB37" s="211" t="str">
        <f t="shared" ca="1" si="4"/>
        <v>TinTin Technology &amp; Refining</v>
      </c>
    </row>
    <row r="38" spans="1:28" s="210" customFormat="1" ht="20.25">
      <c r="A38" s="165" t="s">
        <v>13348</v>
      </c>
      <c r="B38" s="166" t="str">
        <f ca="1">IF(LEN(A38)=0,"",INDEX('Smelter Look-up'!$A:$A,MATCH($A38,'Smelter Look-up'!$E:$E,0)))</f>
        <v>Tin</v>
      </c>
      <c r="C38" s="170" t="str">
        <f ca="1">IF(LEN(A38)=0,"",INDEX('Smelter Look-up'!$C:$C,MATCH($A38,'Smelter Look-up'!$E:$E,0)))</f>
        <v>Luna Smelter, Ltd.</v>
      </c>
      <c r="D38" s="213"/>
      <c r="E38" s="166" t="str">
        <f ca="1">IF(ISERROR($V38),"",OFFSET('Smelter Look-up'!$D$4,$V38-4,0)&amp;"")</f>
        <v>RWANDA</v>
      </c>
      <c r="F38" s="166" t="str">
        <f ca="1">IF(ISERROR($V38),"",OFFSET('Smelter Look-up'!$E$4,$V38-4,0))</f>
        <v>CID003387</v>
      </c>
      <c r="G38" s="166" t="str">
        <f ca="1">IF(C38=$X$4,IF(ISERROR($V38),"Enter smelter details","RMI"),IF(ISERROR($V38),"",OFFSET('Smelter Look-up'!$F$4,$V38-4,0)))</f>
        <v>RMI</v>
      </c>
      <c r="H38" s="167">
        <f ca="1">IF(ISERROR($V38),"",OFFSET('Smelter Look-up'!$G$4,$V38-4,0))</f>
        <v>0</v>
      </c>
      <c r="I38" s="168" t="str">
        <f ca="1">IF(ISERROR($V38),"",OFFSET('Smelter Look-up'!$H$4,$V38-4,0))</f>
        <v>Kigali</v>
      </c>
      <c r="J38" s="168" t="str">
        <f ca="1">IF(ISERROR($V38),"",OFFSET('Smelter Look-up'!$I$4,$V38-4,0))</f>
        <v>City of Kigali</v>
      </c>
      <c r="K38" s="207"/>
      <c r="L38" s="207"/>
      <c r="M38" s="207"/>
      <c r="N38" s="207"/>
      <c r="O38" s="207"/>
      <c r="P38" s="169"/>
      <c r="Q38" s="208"/>
      <c r="R38" s="166" t="str">
        <f ca="1">IF(ISERROR($V38),"",OFFSET('Smelter Look-up'!$C$4,$V38-4,0)&amp;"")</f>
        <v>Luna Smelter, Ltd.</v>
      </c>
      <c r="S38" s="165" t="str">
        <f t="shared" ref="S38:S68" ca="1" si="5">IF(B38="","",IF(ISERROR(MATCH($E38,CL,0)),"Unknown",INDIRECT("'C'!$A$"&amp;MATCH($E38,CL,0)+1)))</f>
        <v>RW</v>
      </c>
      <c r="T38" s="165" t="str">
        <f ca="1">IF(B38="","",IF(ISERROR(MATCH($J38,SorP!$B$1:$B$6261,0)),"",INDIRECT("'SorP'!$A$"&amp;MATCH($S38&amp;$J38,SorP!C:C,0))))</f>
        <v>RW-01</v>
      </c>
      <c r="U38" s="185"/>
      <c r="V38" s="209">
        <f ca="1">IF(C38="",NA(),IF(OR(C38="Smelter not listed",C38="Smelter not yet identified"),MATCH($B38&amp;$D38,'Smelter Look-up'!$J:$J,0),MATCH($B38&amp;$C38,'Smelter Look-up'!$J:$J,0)))</f>
        <v>488</v>
      </c>
      <c r="X38" s="210">
        <f t="shared" ref="X38:X68" ca="1" si="6">IF(AND(C38="Smelter not listed",OR(LEN(D38)=0,LEN(E38)=0)),1,0)</f>
        <v>0</v>
      </c>
      <c r="AB38" s="211" t="str">
        <f t="shared" ref="AB38:AB68" ca="1" si="7">B38&amp;C38</f>
        <v>TinLuna Smelter, Ltd.</v>
      </c>
    </row>
    <row r="39" spans="1:28" s="210" customFormat="1" ht="20.25">
      <c r="A39" s="165" t="s">
        <v>13349</v>
      </c>
      <c r="B39" s="166" t="str">
        <f ca="1">IF(LEN(A39)=0,"",INDEX('Smelter Look-up'!$A:$A,MATCH($A39,'Smelter Look-up'!$E:$E,0)))</f>
        <v>Tin</v>
      </c>
      <c r="C39" s="170" t="str">
        <f ca="1">IF(LEN(A39)=0,"",INDEX('Smelter Look-up'!$C:$C,MATCH($A39,'Smelter Look-up'!$E:$E,0)))</f>
        <v>PT Mitra Sukses Globalindo</v>
      </c>
      <c r="D39" s="213"/>
      <c r="E39" s="166" t="str">
        <f ca="1">IF(ISERROR($V39),"",OFFSET('Smelter Look-up'!$D$4,$V39-4,0)&amp;"")</f>
        <v>INDONESIA</v>
      </c>
      <c r="F39" s="166" t="str">
        <f ca="1">IF(ISERROR($V39),"",OFFSET('Smelter Look-up'!$E$4,$V39-4,0))</f>
        <v>CID003449</v>
      </c>
      <c r="G39" s="166" t="str">
        <f ca="1">IF(C39=$X$4,IF(ISERROR($V39),"Enter smelter details","RMI"),IF(ISERROR($V39),"",OFFSET('Smelter Look-up'!$F$4,$V39-4,0)))</f>
        <v>RMI</v>
      </c>
      <c r="H39" s="167">
        <f ca="1">IF(ISERROR($V39),"",OFFSET('Smelter Look-up'!$G$4,$V39-4,0))</f>
        <v>0</v>
      </c>
      <c r="I39" s="168" t="str">
        <f ca="1">IF(ISERROR($V39),"",OFFSET('Smelter Look-up'!$H$4,$V39-4,0))</f>
        <v>Pangkalpinang</v>
      </c>
      <c r="J39" s="168" t="str">
        <f ca="1">IF(ISERROR($V39),"",OFFSET('Smelter Look-up'!$I$4,$V39-4,0))</f>
        <v>Kepulauan Bangka Belitung</v>
      </c>
      <c r="K39" s="207"/>
      <c r="L39" s="207"/>
      <c r="M39" s="207"/>
      <c r="N39" s="207"/>
      <c r="O39" s="207"/>
      <c r="P39" s="169"/>
      <c r="Q39" s="208"/>
      <c r="R39" s="166" t="str">
        <f ca="1">IF(ISERROR($V39),"",OFFSET('Smelter Look-up'!$C$4,$V39-4,0)&amp;"")</f>
        <v>PT Mitra Sukses Globalindo</v>
      </c>
      <c r="S39" s="165" t="str">
        <f t="shared" ca="1" si="5"/>
        <v>ID</v>
      </c>
      <c r="T39" s="165" t="str">
        <f ca="1">IF(B39="","",IF(ISERROR(MATCH($J39,SorP!$B$1:$B$6261,0)),"",INDIRECT("'SorP'!$A$"&amp;MATCH($S39&amp;$J39,SorP!C:C,0))))</f>
        <v>ID-BB</v>
      </c>
      <c r="U39" s="185"/>
      <c r="V39" s="209">
        <f ca="1">IF(C39="",NA(),IF(OR(C39="Smelter not listed",C39="Smelter not yet identified"),MATCH($B39&amp;$D39,'Smelter Look-up'!$J:$J,0),MATCH($B39&amp;$C39,'Smelter Look-up'!$J:$J,0)))</f>
        <v>525</v>
      </c>
      <c r="X39" s="210">
        <f t="shared" ca="1" si="6"/>
        <v>0</v>
      </c>
      <c r="AB39" s="211" t="str">
        <f t="shared" ca="1" si="7"/>
        <v>TinPT Mitra Sukses Globalindo</v>
      </c>
    </row>
    <row r="40" spans="1:28" s="210" customFormat="1" ht="20.25">
      <c r="A40" s="165" t="s">
        <v>14529</v>
      </c>
      <c r="B40" s="166" t="str">
        <f ca="1">IF(LEN(A40)=0,"",INDEX('Smelter Look-up'!$A:$A,MATCH($A40,'Smelter Look-up'!$E:$E,0)))</f>
        <v>Tin</v>
      </c>
      <c r="C40" s="170" t="str">
        <f ca="1">IF(LEN(A40)=0,"",INDEX('Smelter Look-up'!$C:$C,MATCH($A40,'Smelter Look-up'!$E:$E,0)))</f>
        <v>CRM Synergies EMEA, S.L.U.</v>
      </c>
      <c r="D40" s="213"/>
      <c r="E40" s="166" t="str">
        <f ca="1">IF(ISERROR($V40),"",OFFSET('Smelter Look-up'!$D$4,$V40-4,0)&amp;"")</f>
        <v>SPAIN</v>
      </c>
      <c r="F40" s="166" t="str">
        <f ca="1">IF(ISERROR($V40),"",OFFSET('Smelter Look-up'!$E$4,$V40-4,0))</f>
        <v>CID003524</v>
      </c>
      <c r="G40" s="166" t="str">
        <f ca="1">IF(C40=$X$4,IF(ISERROR($V40),"Enter smelter details","RMI"),IF(ISERROR($V40),"",OFFSET('Smelter Look-up'!$F$4,$V40-4,0)))</f>
        <v>RMI</v>
      </c>
      <c r="H40" s="167">
        <f ca="1">IF(ISERROR($V40),"",OFFSET('Smelter Look-up'!$G$4,$V40-4,0))</f>
        <v>0</v>
      </c>
      <c r="I40" s="168" t="str">
        <f ca="1">IF(ISERROR($V40),"",OFFSET('Smelter Look-up'!$H$4,$V40-4,0))</f>
        <v>Las Ventas de Retamosa</v>
      </c>
      <c r="J40" s="168" t="str">
        <f ca="1">IF(ISERROR($V40),"",OFFSET('Smelter Look-up'!$I$4,$V40-4,0))</f>
        <v>Toledo</v>
      </c>
      <c r="K40" s="207"/>
      <c r="L40" s="207"/>
      <c r="M40" s="207"/>
      <c r="N40" s="207"/>
      <c r="O40" s="207"/>
      <c r="P40" s="169"/>
      <c r="Q40" s="208"/>
      <c r="R40" s="166" t="str">
        <f ca="1">IF(ISERROR($V40),"",OFFSET('Smelter Look-up'!$C$4,$V40-4,0)&amp;"")</f>
        <v>CRM Synergies EMEA, S.L.U.</v>
      </c>
      <c r="S40" s="165" t="str">
        <f t="shared" ca="1" si="5"/>
        <v>ES</v>
      </c>
      <c r="T40" s="165" t="str">
        <f ca="1">IF(B40="","",IF(ISERROR(MATCH($J40,SorP!$B$1:$B$6261,0)),"",INDIRECT("'SorP'!$A$"&amp;MATCH($S40&amp;$J40,SorP!C:C,0))))</f>
        <v>ES-TO</v>
      </c>
      <c r="U40" s="185"/>
      <c r="V40" s="209">
        <f ca="1">IF(C40="",NA(),IF(OR(C40="Smelter not listed",C40="Smelter not yet identified"),MATCH($B40&amp;$D40,'Smelter Look-up'!$J:$J,0),MATCH($B40&amp;$C40,'Smelter Look-up'!$J:$J,0)))</f>
        <v>442</v>
      </c>
      <c r="X40" s="210">
        <f t="shared" ca="1" si="6"/>
        <v>0</v>
      </c>
      <c r="AB40" s="211" t="str">
        <f t="shared" ca="1" si="7"/>
        <v>TinCRM Synergies EMEA, S.L.U.</v>
      </c>
    </row>
    <row r="41" spans="1:28" s="210" customFormat="1" ht="20.25">
      <c r="A41" s="165" t="s">
        <v>14529</v>
      </c>
      <c r="B41" s="166" t="str">
        <f ca="1">IF(LEN(A41)=0,"",INDEX('Smelter Look-up'!$A:$A,MATCH($A41,'Smelter Look-up'!$E:$E,0)))</f>
        <v>Tin</v>
      </c>
      <c r="C41" s="170" t="str">
        <f ca="1">IF(LEN(A41)=0,"",INDEX('Smelter Look-up'!$C:$C,MATCH($A41,'Smelter Look-up'!$E:$E,0)))</f>
        <v>CRM Synergies EMEA, S.L.U.</v>
      </c>
      <c r="D41" s="213"/>
      <c r="E41" s="166" t="str">
        <f ca="1">IF(ISERROR($V41),"",OFFSET('Smelter Look-up'!$D$4,$V41-4,0)&amp;"")</f>
        <v>SPAIN</v>
      </c>
      <c r="F41" s="166" t="str">
        <f ca="1">IF(ISERROR($V41),"",OFFSET('Smelter Look-up'!$E$4,$V41-4,0))</f>
        <v>CID003524</v>
      </c>
      <c r="G41" s="166" t="str">
        <f ca="1">IF(C41=$X$4,IF(ISERROR($V41),"Enter smelter details","RMI"),IF(ISERROR($V41),"",OFFSET('Smelter Look-up'!$F$4,$V41-4,0)))</f>
        <v>RMI</v>
      </c>
      <c r="H41" s="167">
        <f ca="1">IF(ISERROR($V41),"",OFFSET('Smelter Look-up'!$G$4,$V41-4,0))</f>
        <v>0</v>
      </c>
      <c r="I41" s="168" t="str">
        <f ca="1">IF(ISERROR($V41),"",OFFSET('Smelter Look-up'!$H$4,$V41-4,0))</f>
        <v>Las Ventas de Retamosa</v>
      </c>
      <c r="J41" s="168" t="str">
        <f ca="1">IF(ISERROR($V41),"",OFFSET('Smelter Look-up'!$I$4,$V41-4,0))</f>
        <v>Toledo</v>
      </c>
      <c r="K41" s="207"/>
      <c r="L41" s="207"/>
      <c r="M41" s="207"/>
      <c r="N41" s="207"/>
      <c r="O41" s="207"/>
      <c r="P41" s="169"/>
      <c r="Q41" s="208"/>
      <c r="R41" s="166" t="str">
        <f ca="1">IF(ISERROR($V41),"",OFFSET('Smelter Look-up'!$C$4,$V41-4,0)&amp;"")</f>
        <v>CRM Synergies EMEA, S.L.U.</v>
      </c>
      <c r="S41" s="165" t="str">
        <f t="shared" ca="1" si="5"/>
        <v>ES</v>
      </c>
      <c r="T41" s="165" t="str">
        <f ca="1">IF(B41="","",IF(ISERROR(MATCH($J41,SorP!$B$1:$B$6261,0)),"",INDIRECT("'SorP'!$A$"&amp;MATCH($S41&amp;$J41,SorP!C:C,0))))</f>
        <v>ES-TO</v>
      </c>
      <c r="U41" s="185"/>
      <c r="V41" s="209">
        <f ca="1">IF(C41="",NA(),IF(OR(C41="Smelter not listed",C41="Smelter not yet identified"),MATCH($B41&amp;$D41,'Smelter Look-up'!$J:$J,0),MATCH($B41&amp;$C41,'Smelter Look-up'!$J:$J,0)))</f>
        <v>442</v>
      </c>
      <c r="X41" s="210">
        <f t="shared" ca="1" si="6"/>
        <v>0</v>
      </c>
      <c r="AB41" s="211" t="str">
        <f t="shared" ca="1" si="7"/>
        <v>TinCRM Synergies EMEA, S.L.U.</v>
      </c>
    </row>
    <row r="42" spans="1:28" s="210" customFormat="1" ht="20.25">
      <c r="A42" s="165" t="s">
        <v>14873</v>
      </c>
      <c r="B42" s="166" t="str">
        <f ca="1">IF(LEN(A42)=0,"",INDEX('Smelter Look-up'!$A:$A,MATCH($A42,'Smelter Look-up'!$E:$E,0)))</f>
        <v>Tin</v>
      </c>
      <c r="C42" s="170" t="str">
        <f ca="1">IF(LEN(A42)=0,"",INDEX('Smelter Look-up'!$C:$C,MATCH($A42,'Smelter Look-up'!$E:$E,0)))</f>
        <v>PT Putera Sarana Shakti (PT PSS)</v>
      </c>
      <c r="D42" s="213"/>
      <c r="E42" s="166" t="str">
        <f ca="1">IF(ISERROR($V42),"",OFFSET('Smelter Look-up'!$D$4,$V42-4,0)&amp;"")</f>
        <v>INDONESIA</v>
      </c>
      <c r="F42" s="166" t="str">
        <f ca="1">IF(ISERROR($V42),"",OFFSET('Smelter Look-up'!$E$4,$V42-4,0))</f>
        <v>CID003868</v>
      </c>
      <c r="G42" s="166" t="str">
        <f ca="1">IF(C42=$X$4,IF(ISERROR($V42),"Enter smelter details","RMI"),IF(ISERROR($V42),"",OFFSET('Smelter Look-up'!$F$4,$V42-4,0)))</f>
        <v>RMI</v>
      </c>
      <c r="H42" s="167">
        <f ca="1">IF(ISERROR($V42),"",OFFSET('Smelter Look-up'!$G$4,$V42-4,0))</f>
        <v>0</v>
      </c>
      <c r="I42" s="168" t="str">
        <f ca="1">IF(ISERROR($V42),"",OFFSET('Smelter Look-up'!$H$4,$V42-4,0))</f>
        <v>Sungailiat</v>
      </c>
      <c r="J42" s="168" t="str">
        <f ca="1">IF(ISERROR($V42),"",OFFSET('Smelter Look-up'!$I$4,$V42-4,0))</f>
        <v>Kepulauan Bangka Belitung</v>
      </c>
      <c r="K42" s="207"/>
      <c r="L42" s="207"/>
      <c r="M42" s="207"/>
      <c r="N42" s="207"/>
      <c r="O42" s="207"/>
      <c r="P42" s="169"/>
      <c r="Q42" s="208"/>
      <c r="R42" s="166" t="str">
        <f ca="1">IF(ISERROR($V42),"",OFFSET('Smelter Look-up'!$C$4,$V42-4,0)&amp;"")</f>
        <v>PT Putera Sarana Shakti (PT PSS)</v>
      </c>
      <c r="S42" s="165" t="str">
        <f t="shared" ca="1" si="5"/>
        <v>ID</v>
      </c>
      <c r="T42" s="165" t="str">
        <f ca="1">IF(B42="","",IF(ISERROR(MATCH($J42,SorP!$B$1:$B$6261,0)),"",INDIRECT("'SorP'!$A$"&amp;MATCH($S42&amp;$J42,SorP!C:C,0))))</f>
        <v>ID-BB</v>
      </c>
      <c r="U42" s="185"/>
      <c r="V42" s="209">
        <f ca="1">IF(C42="",NA(),IF(OR(C42="Smelter not listed",C42="Smelter not yet identified"),MATCH($B42&amp;$D42,'Smelter Look-up'!$J:$J,0),MATCH($B42&amp;$C42,'Smelter Look-up'!$J:$J,0)))</f>
        <v>528</v>
      </c>
      <c r="X42" s="210">
        <f t="shared" ca="1" si="6"/>
        <v>0</v>
      </c>
      <c r="AB42" s="211" t="str">
        <f t="shared" ca="1" si="7"/>
        <v>TinPT Putera Sarana Shakti (PT PSS)</v>
      </c>
    </row>
    <row r="43" spans="1:28" s="210" customFormat="1" ht="20.25">
      <c r="A43" s="165" t="s">
        <v>14904</v>
      </c>
      <c r="B43" s="166" t="str">
        <f ca="1">IF(LEN(A43)=0,"",INDEX('Smelter Look-up'!$A:$A,MATCH($A43,'Smelter Look-up'!$E:$E,0)))</f>
        <v>Tin</v>
      </c>
      <c r="C43" s="170" t="str">
        <f ca="1">IF(LEN(A43)=0,"",INDEX('Smelter Look-up'!$C:$C,MATCH($A43,'Smelter Look-up'!$E:$E,0)))</f>
        <v>Mining Minerals Resources SARL</v>
      </c>
      <c r="D43" s="213"/>
      <c r="E43" s="166" t="str">
        <f ca="1">IF(ISERROR($V43),"",OFFSET('Smelter Look-up'!$D$4,$V43-4,0)&amp;"")</f>
        <v>CONGO, DEMOCRATIC REPUBLIC OF THE</v>
      </c>
      <c r="F43" s="166" t="str">
        <f ca="1">IF(ISERROR($V43),"",OFFSET('Smelter Look-up'!$E$4,$V43-4,0))</f>
        <v>CID004065</v>
      </c>
      <c r="G43" s="166" t="str">
        <f ca="1">IF(C43=$X$4,IF(ISERROR($V43),"Enter smelter details","RMI"),IF(ISERROR($V43),"",OFFSET('Smelter Look-up'!$F$4,$V43-4,0)))</f>
        <v>RMI</v>
      </c>
      <c r="H43" s="167">
        <f ca="1">IF(ISERROR($V43),"",OFFSET('Smelter Look-up'!$G$4,$V43-4,0))</f>
        <v>0</v>
      </c>
      <c r="I43" s="168" t="str">
        <f ca="1">IF(ISERROR($V43),"",OFFSET('Smelter Look-up'!$H$4,$V43-4,0))</f>
        <v>Lubumbashi</v>
      </c>
      <c r="J43" s="168" t="str">
        <f ca="1">IF(ISERROR($V43),"",OFFSET('Smelter Look-up'!$I$4,$V43-4,0))</f>
        <v>Haut-Katanga</v>
      </c>
      <c r="K43" s="207"/>
      <c r="L43" s="207"/>
      <c r="M43" s="207"/>
      <c r="N43" s="207"/>
      <c r="O43" s="207"/>
      <c r="P43" s="169"/>
      <c r="Q43" s="208"/>
      <c r="R43" s="166" t="str">
        <f ca="1">IF(ISERROR($V43),"",OFFSET('Smelter Look-up'!$C$4,$V43-4,0)&amp;"")</f>
        <v>Mining Minerals Resources SARL</v>
      </c>
      <c r="S43" s="165" t="str">
        <f t="shared" ca="1" si="5"/>
        <v>CD</v>
      </c>
      <c r="T43" s="165" t="str">
        <f ca="1">IF(B43="","",IF(ISERROR(MATCH($J43,SorP!$B$1:$B$6261,0)),"",INDIRECT("'SorP'!$A$"&amp;MATCH($S43&amp;$J43,SorP!C:C,0))))</f>
        <v>CD-HK</v>
      </c>
      <c r="U43" s="185"/>
      <c r="V43" s="209">
        <f ca="1">IF(C43="",NA(),IF(OR(C43="Smelter not listed",C43="Smelter not yet identified"),MATCH($B43&amp;$D43,'Smelter Look-up'!$J:$J,0),MATCH($B43&amp;$C43,'Smelter Look-up'!$J:$J,0)))</f>
        <v>502</v>
      </c>
      <c r="X43" s="210">
        <f t="shared" ca="1" si="6"/>
        <v>0</v>
      </c>
      <c r="AB43" s="211" t="str">
        <f t="shared" ca="1" si="7"/>
        <v>TinMining Minerals Resources SARL</v>
      </c>
    </row>
    <row r="44" spans="1:28" s="210" customFormat="1" ht="20.25">
      <c r="A44" s="165" t="s">
        <v>15187</v>
      </c>
      <c r="B44" s="166" t="str">
        <f ca="1">IF(LEN(A44)=0,"",INDEX('Smelter Look-up'!$A:$A,MATCH($A44,'Smelter Look-up'!$E:$E,0)))</f>
        <v>Tin</v>
      </c>
      <c r="C44" s="170" t="str">
        <f ca="1">IF(LEN(A44)=0,"",INDEX('Smelter Look-up'!$C:$C,MATCH($A44,'Smelter Look-up'!$E:$E,0)))</f>
        <v>Malaysia Smelting Corporation Berhad (Port Klang)</v>
      </c>
      <c r="D44" s="213"/>
      <c r="E44" s="166" t="str">
        <f ca="1">IF(ISERROR($V44),"",OFFSET('Smelter Look-up'!$D$4,$V44-4,0)&amp;"")</f>
        <v>MALAYSIA</v>
      </c>
      <c r="F44" s="166" t="str">
        <f ca="1">IF(ISERROR($V44),"",OFFSET('Smelter Look-up'!$E$4,$V44-4,0))</f>
        <v>CID004434</v>
      </c>
      <c r="G44" s="166" t="str">
        <f ca="1">IF(C44=$X$4,IF(ISERROR($V44),"Enter smelter details","RMI"),IF(ISERROR($V44),"",OFFSET('Smelter Look-up'!$F$4,$V44-4,0)))</f>
        <v>RMI</v>
      </c>
      <c r="H44" s="167">
        <f ca="1">IF(ISERROR($V44),"",OFFSET('Smelter Look-up'!$G$4,$V44-4,0))</f>
        <v>0</v>
      </c>
      <c r="I44" s="168" t="str">
        <f ca="1">IF(ISERROR($V44),"",OFFSET('Smelter Look-up'!$H$4,$V44-4,0))</f>
        <v>Port Klang</v>
      </c>
      <c r="J44" s="168" t="str">
        <f ca="1">IF(ISERROR($V44),"",OFFSET('Smelter Look-up'!$I$4,$V44-4,0))</f>
        <v>Selangor</v>
      </c>
      <c r="K44" s="207"/>
      <c r="L44" s="207"/>
      <c r="M44" s="207"/>
      <c r="N44" s="207"/>
      <c r="O44" s="207"/>
      <c r="P44" s="169"/>
      <c r="Q44" s="208"/>
      <c r="R44" s="166" t="str">
        <f ca="1">IF(ISERROR($V44),"",OFFSET('Smelter Look-up'!$C$4,$V44-4,0)&amp;"")</f>
        <v>Malaysia Smelting Corporation Berhad (Port Klang)</v>
      </c>
      <c r="S44" s="165" t="str">
        <f t="shared" ca="1" si="5"/>
        <v>MY</v>
      </c>
      <c r="T44" s="165" t="str">
        <f ca="1">IF(B44="","",IF(ISERROR(MATCH($J44,SorP!$B$1:$B$6261,0)),"",INDIRECT("'SorP'!$A$"&amp;MATCH($S44&amp;$J44,SorP!C:C,0))))</f>
        <v>MY-10</v>
      </c>
      <c r="U44" s="185"/>
      <c r="V44" s="209">
        <f ca="1">IF(C44="",NA(),IF(OR(C44="Smelter not listed",C44="Smelter not yet identified"),MATCH($B44&amp;$D44,'Smelter Look-up'!$J:$J,0),MATCH($B44&amp;$C44,'Smelter Look-up'!$J:$J,0)))</f>
        <v>491</v>
      </c>
      <c r="X44" s="210">
        <f t="shared" ca="1" si="6"/>
        <v>0</v>
      </c>
      <c r="AB44" s="211" t="str">
        <f t="shared" ca="1" si="7"/>
        <v>TinMalaysia Smelting Corporation Berhad (Port Klang)</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B35193E-27B1-4174-A611-CE99FF57FC8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B66" sqref="B66"/>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Um sicherzustellen, dass alle erforderlichen Felder vor dem Versand an ihren Kunden ausgefüllt sind, alle rot markierten Felder beachten.</v>
      </c>
      <c r="B1" s="393"/>
      <c r="C1" s="393"/>
      <c r="D1" s="116" t="str">
        <f ca="1">OFFSET(L!$C$1,MATCH("Checker"&amp;ADDRESS(ROW(),COLUMN(),4),L!$A:$A,0)-1,SL,,)</f>
        <v>Erforderliche Felder bitte vervollständigen.</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Erforderliche Felder</v>
      </c>
      <c r="B3" s="65" t="str">
        <f ca="1">OFFSET(L!$C$1,MATCH("Checker"&amp;ADDRESS(ROW(),COLUMN(),4),L!$A:$A,0)-1,SL,,)</f>
        <v>Antwort ist vorhanden</v>
      </c>
      <c r="C3" s="65" t="str">
        <f ca="1">OFFSET(L!$C$1,MATCH("Checker"&amp;ADDRESS(ROW(),COLUMN(),4),L!$A:$A,0)-1,SL,,)</f>
        <v>Notizen</v>
      </c>
      <c r="D3" s="65" t="str">
        <f ca="1">OFFSET(L!$C$1,MATCH("Checker"&amp;ADDRESS(ROW(),COLUMN(),4),L!$A:$A,0)-1,SL,,)</f>
        <v>Hyperlink zum Ursprung</v>
      </c>
      <c r="F3" s="66" t="s">
        <v>510</v>
      </c>
      <c r="G3" s="18" t="s">
        <v>509</v>
      </c>
      <c r="H3" s="18" t="s">
        <v>511</v>
      </c>
      <c r="I3" s="18" t="s">
        <v>1271</v>
      </c>
      <c r="J3" s="18" t="s">
        <v>1272</v>
      </c>
    </row>
    <row r="4" spans="1:10" ht="39">
      <c r="A4" s="87" t="str">
        <f ca="1">Declaration!B8</f>
        <v>Firmenname (*):</v>
      </c>
      <c r="B4" s="86" t="str">
        <f>Declaration!D8</f>
        <v>STANNOL GmbH &amp; Co. KG</v>
      </c>
      <c r="C4" s="86" t="str">
        <f t="shared" ref="C4" ca="1" si="0">IF(H4=1,J4,I4)</f>
        <v>Vollständig</v>
      </c>
      <c r="D4" s="92" t="str">
        <f>IF(H4=1,"Click here to enter Company Name","")</f>
        <v/>
      </c>
      <c r="E4" s="19" t="s">
        <v>1261</v>
      </c>
      <c r="F4" s="90">
        <v>1</v>
      </c>
      <c r="G4" s="67">
        <f t="shared" ref="G4" si="1">IF(B4=0,1,0)</f>
        <v>0</v>
      </c>
      <c r="H4" s="68">
        <f>F4*G4</f>
        <v>0</v>
      </c>
      <c r="I4" s="142" t="str">
        <f ca="1">OFFSET(L!$C$1,MATCH("Checker"&amp;"Comp",L!$A:$A,0)-1,SL,,)</f>
        <v>Vollständig</v>
      </c>
      <c r="J4" s="143" t="str">
        <f ca="1">OFFSET(L!$C$1,MATCH("Checker"&amp;ADDRESS(ROW(),COLUMN(),4),L!$A:$A,0)-1,SL,,)</f>
        <v>Geben Sie den Namen Ihres Unternehmens in der Reiterzelle D8 der Erklärung an</v>
      </c>
    </row>
    <row r="5" spans="1:10" ht="39">
      <c r="A5" s="87" t="str">
        <f ca="1">Declaration!B9</f>
        <v>Geltungsbereich der Erklärung (*):</v>
      </c>
      <c r="B5" s="86" t="str">
        <f>Declaration!D9</f>
        <v>A. Company</v>
      </c>
      <c r="C5" s="86" t="str">
        <f ca="1">IF(H5=1,J5,I5)</f>
        <v>Vollständig</v>
      </c>
      <c r="D5" s="92" t="str">
        <f>IF(H5=1,"Click here to enter Declaration Scope","")</f>
        <v/>
      </c>
      <c r="E5" s="19" t="s">
        <v>1261</v>
      </c>
      <c r="F5" s="90">
        <v>1</v>
      </c>
      <c r="G5" s="67">
        <f>IF(B5=0,1,0)</f>
        <v>0</v>
      </c>
      <c r="H5" s="68">
        <f t="shared" ref="H5" si="2">F5*G5</f>
        <v>0</v>
      </c>
      <c r="I5" s="142" t="str">
        <f ca="1">OFFSET(L!$C$1,MATCH("Checker"&amp;"Comp",L!$A:$A,0)-1,SL,,)</f>
        <v>Vollständig</v>
      </c>
      <c r="J5" s="143" t="str">
        <f ca="1">OFFSET(L!$C$1,MATCH("Checker"&amp;ADDRESS(ROW(),COLUMN(),4),L!$A:$A,0)-1,SL,,)</f>
        <v>Wählen Sie den Umfang der Erklärung in der Reiterzelle D9 der Erklärung aus</v>
      </c>
    </row>
    <row r="6" spans="1:10" ht="39">
      <c r="A6" s="87" t="str">
        <f ca="1">Declaration!B10</f>
        <v>Beschreibung des Geltungsbereichs</v>
      </c>
      <c r="B6" s="86">
        <f>Declaration!D10</f>
        <v>0</v>
      </c>
      <c r="C6" s="86" t="str">
        <f ca="1">IF(H6=1,J6,I6)</f>
        <v>Vollständig</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Vollständig</v>
      </c>
      <c r="J6" s="18" t="str">
        <f ca="1">OFFSET(L!$C$1,MATCH("Checker"&amp;ADDRESS(ROW(),COLUMN(),4),L!$A:$A,0)-1,SL,,)</f>
        <v>Geben Sie eine Beschreibung des Umfangs in der Reiterzelle D10 der Erklärung an</v>
      </c>
    </row>
    <row r="7" spans="1:10" ht="39">
      <c r="A7" s="87" t="str">
        <f ca="1">Declaration!B15</f>
        <v>Name des Ansprechpartners (*):</v>
      </c>
      <c r="B7" s="86" t="str">
        <f>Declaration!D15</f>
        <v>Claudio Sündermann</v>
      </c>
      <c r="C7" s="86" t="str">
        <f ca="1">IF(H7=1,J7,I7)</f>
        <v>Vollständig</v>
      </c>
      <c r="D7" s="92" t="str">
        <f>IF(H7=1,"Click here to enter Contact Name","")</f>
        <v/>
      </c>
      <c r="E7" s="19" t="s">
        <v>1261</v>
      </c>
      <c r="F7" s="90">
        <v>1</v>
      </c>
      <c r="G7" s="67">
        <f>IF(B7=0,1,0)</f>
        <v>0</v>
      </c>
      <c r="H7" s="68">
        <f t="shared" si="3"/>
        <v>0</v>
      </c>
      <c r="I7" s="142" t="str">
        <f ca="1">OFFSET(L!$C$1,MATCH("Checker"&amp;"Comp",L!$A:$A,0)-1,SL,,)</f>
        <v>Vollständig</v>
      </c>
      <c r="J7" s="18" t="str">
        <f ca="1">OFFSET(L!$C$1,MATCH("Checker"&amp;ADDRESS(ROW(),COLUMN(),4),L!$A:$A,0)-1,SL,,)</f>
        <v>Geben Sie einen Kontaktnamen in der Reiterzelle D15 der Erklärung an</v>
      </c>
    </row>
    <row r="8" spans="1:10" ht="39">
      <c r="A8" s="87" t="str">
        <f ca="1">Declaration!B16</f>
        <v>E-Mail-Adresse des Ansprechpartners (*):</v>
      </c>
      <c r="B8" s="86" t="str">
        <f>Declaration!D16</f>
        <v>claudio.suendermann@stannol.de</v>
      </c>
      <c r="C8" s="86" t="str">
        <f ca="1">IF(H8=1,J8,I8)</f>
        <v>Vollständig</v>
      </c>
      <c r="D8" s="92" t="str">
        <f>IF(H8=1,"Click here to enter Email-Contact","")</f>
        <v/>
      </c>
      <c r="E8" s="19" t="s">
        <v>1261</v>
      </c>
      <c r="F8" s="90">
        <v>1</v>
      </c>
      <c r="G8" s="67">
        <f>IF(ISNUMBER(SEARCH("@",B8)),0,1)</f>
        <v>0</v>
      </c>
      <c r="H8" s="68">
        <f t="shared" si="3"/>
        <v>0</v>
      </c>
      <c r="I8" s="142" t="str">
        <f ca="1">OFFSET(L!$C$1,MATCH("Checker"&amp;"Comp",L!$A:$A,0)-1,SL,,)</f>
        <v>Vollständig</v>
      </c>
      <c r="J8" s="18" t="str">
        <f ca="1">OFFSET(L!$C$1,MATCH("Checker"&amp;ADDRESS(ROW(),COLUMN(),4),L!$A:$A,0)-1,SL,,)</f>
        <v>Geben Sie eine gültige Kontakt-E-Mail-Adresse in der Reiterzelle D16 der Erklärung an</v>
      </c>
    </row>
    <row r="9" spans="1:10" ht="39">
      <c r="A9" s="87" t="str">
        <f ca="1">Declaration!B17</f>
        <v>Telefonnummer des Ansprechpartners (*):</v>
      </c>
      <c r="B9" s="256" t="str">
        <f>Declaration!D17</f>
        <v>0049 2051 3120 143</v>
      </c>
      <c r="C9" s="86" t="str">
        <f ca="1">IF(H9=1,J9,I9)</f>
        <v>Vollständig</v>
      </c>
      <c r="D9" s="92" t="str">
        <f>IF(H9=1,"Click here to enter Phone-Contact","")</f>
        <v/>
      </c>
      <c r="E9" s="19" t="s">
        <v>1261</v>
      </c>
      <c r="F9" s="90">
        <v>1</v>
      </c>
      <c r="G9" s="67">
        <f>IF(B9=0,1,0)</f>
        <v>0</v>
      </c>
      <c r="H9" s="68">
        <f t="shared" si="3"/>
        <v>0</v>
      </c>
      <c r="I9" s="142" t="str">
        <f ca="1">OFFSET(L!$C$1,MATCH("Checker"&amp;"Comp",L!$A:$A,0)-1,SL,,)</f>
        <v>Vollständig</v>
      </c>
      <c r="J9" s="18" t="str">
        <f ca="1">OFFSET(L!$C$1,MATCH("Checker"&amp;ADDRESS(ROW(),COLUMN(),4),L!$A:$A,0)-1,SL,,)</f>
        <v>Geben Sie eine Kontakttelefonnummer in der Reiterzelle D17 der Erklärung an</v>
      </c>
    </row>
    <row r="10" spans="1:10" ht="39">
      <c r="A10" s="87" t="str">
        <f ca="1">Declaration!B18</f>
        <v>Bevollmächtigter (*):</v>
      </c>
      <c r="B10" s="86" t="str">
        <f>Declaration!D18</f>
        <v>Claudio Sündermann</v>
      </c>
      <c r="C10" s="86" t="str">
        <f t="shared" ref="C10" ca="1" si="4">IF(H10=1,J10,I10)</f>
        <v>Vollständig</v>
      </c>
      <c r="D10" s="92" t="str">
        <f>IF(H10=1,"Click here to enter an Authorized Company Representative's name","")</f>
        <v/>
      </c>
      <c r="E10" s="19" t="s">
        <v>1261</v>
      </c>
      <c r="F10" s="90">
        <v>1</v>
      </c>
      <c r="G10" s="67">
        <f t="shared" ref="G10" si="5">IF(B10=0,1,0)</f>
        <v>0</v>
      </c>
      <c r="H10" s="68">
        <f t="shared" si="3"/>
        <v>0</v>
      </c>
      <c r="I10" s="142" t="str">
        <f ca="1">OFFSET(L!$C$1,MATCH("Checker"&amp;"Comp",L!$A:$A,0)-1,SL,,)</f>
        <v>Vollständig</v>
      </c>
      <c r="J10" s="18" t="str">
        <f ca="1">OFFSET(L!$C$1,MATCH("Checker"&amp;ADDRESS(ROW(),COLUMN(),4),L!$A:$A,0)-1,SL,,)</f>
        <v>Geben Sie den Kontaktnamen eines bevollmächtigten Unternehmensvertreters in der Reiterzelle D18 der Erklärung an</v>
      </c>
    </row>
    <row r="11" spans="1:10" ht="39">
      <c r="A11" s="87" t="str">
        <f ca="1">Declaration!B20</f>
        <v>E-Mail-Adresse des Bevollmächtigten (*):</v>
      </c>
      <c r="B11" s="86" t="str">
        <f>Declaration!D20</f>
        <v>claudio.suendermann@stannol.de</v>
      </c>
      <c r="C11" s="86" t="str">
        <f ca="1">IF(H11=1,J11,I11)</f>
        <v>Vollständig</v>
      </c>
      <c r="D11" s="92" t="str">
        <f>IF(H11=1,"Click here to enter Representative's email","")</f>
        <v/>
      </c>
      <c r="E11" s="19" t="s">
        <v>1261</v>
      </c>
      <c r="F11" s="90">
        <v>1</v>
      </c>
      <c r="G11" s="67">
        <f>IF(ISNUMBER(SEARCH("@",B11)),0,1)</f>
        <v>0</v>
      </c>
      <c r="H11" s="68">
        <f t="shared" si="3"/>
        <v>0</v>
      </c>
      <c r="I11" s="142" t="str">
        <f ca="1">OFFSET(L!$C$1,MATCH("Checker"&amp;"Comp",L!$A:$A,0)-1,SL,,)</f>
        <v>Vollständig</v>
      </c>
      <c r="J11" s="18" t="str">
        <f ca="1">OFFSET(L!$C$1,MATCH("Checker"&amp;ADDRESS(ROW(),COLUMN(),4),L!$A:$A,0)-1,SL,,)</f>
        <v>Geben Sie eine gültige E-Mail-Adresse eines bevollmächtigten Unternehmensvertreters in der Reiterzelle D20 der Erklärung an</v>
      </c>
    </row>
    <row r="12" spans="1:10" ht="39">
      <c r="A12" s="87" t="str">
        <f ca="1">Declaration!B22</f>
        <v>Datum (*):</v>
      </c>
      <c r="B12" s="88">
        <f>Declaration!D22</f>
        <v>46199</v>
      </c>
      <c r="C12" s="86" t="str">
        <f ca="1">IF(H12=1,J12,I12)</f>
        <v>Vollständig</v>
      </c>
      <c r="D12" s="92" t="str">
        <f>IF(H12=1,"Click here to enter Date of Completion","")</f>
        <v/>
      </c>
      <c r="E12" s="19" t="s">
        <v>1261</v>
      </c>
      <c r="F12" s="90">
        <v>1</v>
      </c>
      <c r="G12" s="67">
        <f>IF(B12=0,1,0)</f>
        <v>0</v>
      </c>
      <c r="H12" s="68">
        <f t="shared" si="3"/>
        <v>0</v>
      </c>
      <c r="I12" s="142" t="str">
        <f ca="1">OFFSET(L!$C$1,MATCH("Checker"&amp;"Comp",L!$A:$A,0)-1,SL,,)</f>
        <v>Vollständig</v>
      </c>
      <c r="J12" s="18" t="str">
        <f ca="1">OFFSET(L!$C$1,MATCH("Checker"&amp;ADDRESS(ROW(),COLUMN(),4),L!$A:$A,0)-1,SL,,)</f>
        <v>Geben Sie das Datum der Vervollständigung des Formulars in der Reiterzelle D22 der Erklärung an</v>
      </c>
    </row>
    <row r="13" spans="1:10" ht="63.75">
      <c r="A13" s="86" t="str">
        <f ca="1">Declaration!B25</f>
        <v>1) Wird absichtlich ein 3TG-Mineral im Herstellungsprozess verwendet oder in das/die Produkt(e) aufgenommen? (*)</v>
      </c>
      <c r="B13" s="89"/>
      <c r="C13" s="89"/>
      <c r="D13" s="93"/>
      <c r="E13" s="19" t="s">
        <v>773</v>
      </c>
      <c r="F13" s="90"/>
      <c r="H13" s="18">
        <f t="shared" si="3"/>
        <v>0</v>
      </c>
    </row>
    <row r="14" spans="1:10" ht="26.25">
      <c r="A14" s="87" t="str">
        <f ca="1">Declaration!B26</f>
        <v xml:space="preserve">Tantal  </v>
      </c>
      <c r="B14" s="86" t="str">
        <f>Declaration!D26</f>
        <v>No</v>
      </c>
      <c r="C14" s="86" t="str">
        <f ca="1">IF(H14=1,J14,I14)</f>
        <v>Vollständig</v>
      </c>
      <c r="D14" s="92" t="str">
        <f>IF(H14=1,"Click here to answer question 1 for Tantalum","")</f>
        <v/>
      </c>
      <c r="E14" s="19" t="s">
        <v>769</v>
      </c>
      <c r="F14" s="90">
        <v>1</v>
      </c>
      <c r="G14" s="67">
        <f>IF(B14=0,1,0)</f>
        <v>0</v>
      </c>
      <c r="H14" s="68">
        <f t="shared" si="3"/>
        <v>0</v>
      </c>
      <c r="I14" s="142" t="str">
        <f ca="1">OFFSET(L!$C$1,MATCH("Checker"&amp;"Comp",L!$A:$A,0)-1,SL,,)</f>
        <v>Vollständig</v>
      </c>
      <c r="J14" s="143" t="str">
        <f ca="1">OFFSET(L!$C$1,MATCH("Checker"&amp;ADDRESS(ROW(),COLUMN(),4),L!$A:$A,0)-1,SL,,)</f>
        <v>Erklären Sie in der Reiterzelle D26 der Erklärung, ob Tantalum Ihren Produkten absichtlich hinzugefügt wird</v>
      </c>
    </row>
    <row r="15" spans="1:10" ht="39">
      <c r="A15" s="87" t="str">
        <f ca="1">Declaration!B27</f>
        <v>Zinn  (*)</v>
      </c>
      <c r="B15" s="86" t="str">
        <f>Declaration!D27</f>
        <v>Yes</v>
      </c>
      <c r="C15" s="86" t="str">
        <f ca="1">IF(H15=1,J15,I15)</f>
        <v>Vollständig</v>
      </c>
      <c r="D15" s="92" t="str">
        <f>IF(H15=1,"Click here to answer question 1 for Tin","")</f>
        <v/>
      </c>
      <c r="E15" s="19" t="s">
        <v>770</v>
      </c>
      <c r="F15" s="90">
        <v>1</v>
      </c>
      <c r="G15" s="67">
        <f>IF(B15=0,1,0)</f>
        <v>0</v>
      </c>
      <c r="H15" s="68">
        <f t="shared" si="3"/>
        <v>0</v>
      </c>
      <c r="I15" s="142" t="str">
        <f ca="1">OFFSET(L!$C$1,MATCH("Checker"&amp;"Comp",L!$A:$A,0)-1,SL,,)</f>
        <v>Vollständig</v>
      </c>
      <c r="J15" s="143" t="str">
        <f ca="1">OFFSET(L!$C$1,MATCH("Checker"&amp;ADDRESS(ROW(),COLUMN(),4),L!$A:$A,0)-1,SL,,)</f>
        <v>Erklären Sie in der Reiterzelle D27 der Erklärung, ob Zinn Ihren Produkten absichtlich hinzugefügt wird</v>
      </c>
    </row>
    <row r="16" spans="1:10" ht="39">
      <c r="A16" s="87" t="str">
        <f ca="1">Declaration!B28</f>
        <v xml:space="preserve">Gold  </v>
      </c>
      <c r="B16" s="86" t="str">
        <f>Declaration!D28</f>
        <v>No</v>
      </c>
      <c r="C16" s="86" t="str">
        <f ca="1">IF(H16=1,J16,I16)</f>
        <v>Vollständig</v>
      </c>
      <c r="D16" s="92" t="str">
        <f>IF(H16=1,"Click here to answer question 1 for Gold","")</f>
        <v/>
      </c>
      <c r="E16" s="19" t="s">
        <v>770</v>
      </c>
      <c r="F16" s="90">
        <v>1</v>
      </c>
      <c r="G16" s="67">
        <f>IF(B16=0,1,0)</f>
        <v>0</v>
      </c>
      <c r="H16" s="68">
        <f t="shared" si="3"/>
        <v>0</v>
      </c>
      <c r="I16" s="142" t="str">
        <f ca="1">OFFSET(L!$C$1,MATCH("Checker"&amp;"Comp",L!$A:$A,0)-1,SL,,)</f>
        <v>Vollständig</v>
      </c>
      <c r="J16" s="143" t="str">
        <f ca="1">OFFSET(L!$C$1,MATCH("Checker"&amp;ADDRESS(ROW(),COLUMN(),4),L!$A:$A,0)-1,SL,,)</f>
        <v>Erklären Sie in der Reiterzelle D28 der Erklärung, ob Gold Ihren Produkten absichtlich hinzugefügt wird</v>
      </c>
    </row>
    <row r="17" spans="1:10" ht="39">
      <c r="A17" s="87" t="str">
        <f ca="1">Declaration!B29</f>
        <v xml:space="preserve">Wolfram  </v>
      </c>
      <c r="B17" s="86" t="str">
        <f>Declaration!D29</f>
        <v>No</v>
      </c>
      <c r="C17" s="86" t="str">
        <f ca="1">IF(H17=1,J17,I17)</f>
        <v>Vollständig</v>
      </c>
      <c r="D17" s="92" t="str">
        <f>IF(H17=1,"Click here to answer question 1 for Tungsten","")</f>
        <v/>
      </c>
      <c r="E17" s="19" t="s">
        <v>770</v>
      </c>
      <c r="F17" s="90">
        <v>1</v>
      </c>
      <c r="G17" s="67">
        <f>IF(B17=0,1,0)</f>
        <v>0</v>
      </c>
      <c r="H17" s="68">
        <f t="shared" si="3"/>
        <v>0</v>
      </c>
      <c r="I17" s="142" t="str">
        <f ca="1">OFFSET(L!$C$1,MATCH("Checker"&amp;"Comp",L!$A:$A,0)-1,SL,,)</f>
        <v>Vollständig</v>
      </c>
      <c r="J17" s="143" t="str">
        <f ca="1">OFFSET(L!$C$1,MATCH("Checker"&amp;ADDRESS(ROW(),COLUMN(),4),L!$A:$A,0)-1,SL,,)</f>
        <v>Erklären Sie in der Reiterzelle D29 der Erklärung, ob Tungsten Ihren Produkten absichtlich hinzugefügt wird</v>
      </c>
    </row>
    <row r="18" spans="1:10" ht="51">
      <c r="A18" s="86" t="str">
        <f ca="1">Declaration!B31</f>
        <v>2) Liegen in dem/den Produkt(en) 3TG-Rückstände vor?  (*)</v>
      </c>
      <c r="B18" s="89"/>
      <c r="C18" s="89"/>
      <c r="D18" s="93"/>
      <c r="E18" s="19" t="s">
        <v>771</v>
      </c>
      <c r="F18" s="90"/>
      <c r="J18" s="143"/>
    </row>
    <row r="19" spans="1:10" ht="39">
      <c r="A19" s="87" t="str">
        <f ca="1">Declaration!B32</f>
        <v xml:space="preserve">Tantal  </v>
      </c>
      <c r="B19" s="86">
        <f>IF($B$14="Yes",Declaration!D32,0)</f>
        <v>0</v>
      </c>
      <c r="C19" s="86" t="str">
        <f ca="1">IF(H19=1,J19,I19)</f>
        <v>Vollständig</v>
      </c>
      <c r="D19" s="94" t="str">
        <f>IF(H19=1,"Click here to answer question 2 for Tantalum","")</f>
        <v/>
      </c>
      <c r="E19" s="19" t="s">
        <v>770</v>
      </c>
      <c r="F19" s="91">
        <f>IF(B$14="No",0,1)</f>
        <v>0</v>
      </c>
      <c r="G19" s="67">
        <f>IF(B19=0,1,0)</f>
        <v>1</v>
      </c>
      <c r="H19" s="68">
        <f>F19*G19</f>
        <v>0</v>
      </c>
      <c r="I19" s="142" t="str">
        <f ca="1">OFFSET(L!$C$1,MATCH("Checker"&amp;"Comp",L!$A:$A,0)-1,SL,,)</f>
        <v>Vollständig</v>
      </c>
      <c r="J19" s="143" t="str">
        <f ca="1">OFFSET(L!$C$1,MATCH("Checker"&amp;ADDRESS(ROW(),COLUMN(),4),L!$A:$A,0)-1,SL,,)</f>
        <v>Erklären Sie in der Reiterzelle D32 der Erklärung, ob Tantalum für die Herstellung Ihrer Produkte erforderlich ist und ob es in den angegebenen Endprodukten enthalten ist</v>
      </c>
    </row>
    <row r="20" spans="1:10" ht="39">
      <c r="A20" s="87" t="str">
        <f ca="1">Declaration!B33</f>
        <v>Zinn  (*)</v>
      </c>
      <c r="B20" s="86" t="str">
        <f>IF($B$15="Yes",Declaration!D33,0)</f>
        <v>Yes</v>
      </c>
      <c r="C20" s="86" t="str">
        <f ca="1">IF(H20=1,J20,I20)</f>
        <v>Vollständig</v>
      </c>
      <c r="D20" s="94" t="str">
        <f>IF(H20=1,"Click here to answer question 2 for Tin","")</f>
        <v/>
      </c>
      <c r="E20" s="19" t="s">
        <v>770</v>
      </c>
      <c r="F20" s="91">
        <f>IF(B$15="No",0,1)</f>
        <v>1</v>
      </c>
      <c r="G20" s="67">
        <f>IF(B20=0,1,0)</f>
        <v>0</v>
      </c>
      <c r="H20" s="68">
        <f>F20*G20</f>
        <v>0</v>
      </c>
      <c r="I20" s="142" t="str">
        <f ca="1">OFFSET(L!$C$1,MATCH("Checker"&amp;"Comp",L!$A:$A,0)-1,SL,,)</f>
        <v>Vollständig</v>
      </c>
      <c r="J20" s="143" t="str">
        <f ca="1">OFFSET(L!$C$1,MATCH("Checker"&amp;ADDRESS(ROW(),COLUMN(),4),L!$A:$A,0)-1,SL,,)</f>
        <v>Erklären Sie in der Reiterzelle D33 der Erklärung, ob Zinn für die Herstellung Ihrer Produkte erforderlich ist und ob es in den angegebenen Endprodukten enthalten ist</v>
      </c>
    </row>
    <row r="21" spans="1:10" ht="39">
      <c r="A21" s="87" t="str">
        <f ca="1">Declaration!B34</f>
        <v xml:space="preserve">Gold  </v>
      </c>
      <c r="B21" s="86">
        <f>IF($B$16="Yes",Declaration!D34,0)</f>
        <v>0</v>
      </c>
      <c r="C21" s="86" t="str">
        <f ca="1">IF(H21=1,J21,I21)</f>
        <v>Vollständig</v>
      </c>
      <c r="D21" s="94" t="str">
        <f>IF(H21=1,"Click here to answer question 2 for Gold","")</f>
        <v/>
      </c>
      <c r="E21" s="19" t="s">
        <v>770</v>
      </c>
      <c r="F21" s="91">
        <f>IF(B$16="No",0,1)</f>
        <v>0</v>
      </c>
      <c r="G21" s="67">
        <f>IF(B21=0,1,0)</f>
        <v>1</v>
      </c>
      <c r="H21" s="68">
        <f>F21*G21</f>
        <v>0</v>
      </c>
      <c r="I21" s="142" t="str">
        <f ca="1">OFFSET(L!$C$1,MATCH("Checker"&amp;"Comp",L!$A:$A,0)-1,SL,,)</f>
        <v>Vollständig</v>
      </c>
      <c r="J21" s="143" t="str">
        <f ca="1">OFFSET(L!$C$1,MATCH("Checker"&amp;ADDRESS(ROW(),COLUMN(),4),L!$A:$A,0)-1,SL,,)</f>
        <v>Erklären Sie in der Reiterzelle D34 der Erklärung, ob Gold für die Herstellung Ihrer Produkte erforderlich ist und ob es in den angegebenen Endprodukten enthalten ist</v>
      </c>
    </row>
    <row r="22" spans="1:10" ht="39">
      <c r="A22" s="87" t="str">
        <f ca="1">Declaration!B35</f>
        <v xml:space="preserve">Wolfram  </v>
      </c>
      <c r="B22" s="86">
        <f>IF($B$17="Yes",Declaration!D35,0)</f>
        <v>0</v>
      </c>
      <c r="C22" s="86" t="str">
        <f ca="1">IF(H22=1,J22,I22)</f>
        <v>Vollständig</v>
      </c>
      <c r="D22" s="94" t="str">
        <f>IF(H22=1,"Click here to answer question 2 for Tungsten","")</f>
        <v/>
      </c>
      <c r="E22" s="19" t="s">
        <v>770</v>
      </c>
      <c r="F22" s="91">
        <f>IF(B$17="No",0,1)</f>
        <v>0</v>
      </c>
      <c r="G22" s="67">
        <f>IF(B22=0,1,0)</f>
        <v>1</v>
      </c>
      <c r="H22" s="68">
        <f>F22*G22</f>
        <v>0</v>
      </c>
      <c r="I22" s="142" t="str">
        <f ca="1">OFFSET(L!$C$1,MATCH("Checker"&amp;"Comp",L!$A:$A,0)-1,SL,,)</f>
        <v>Vollständig</v>
      </c>
      <c r="J22" s="143"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6" t="str">
        <f ca="1">Declaration!B37</f>
        <v>3) Beschaffen Schmelzhütten in Ihrer Lieferkette das 3TG-Mineral aus den umfassten Ländern? (SEC-Begriff, siehe Definitions-Tab) (*)</v>
      </c>
      <c r="B23" s="89"/>
      <c r="C23" s="89"/>
      <c r="D23" s="93"/>
      <c r="E23" s="19" t="s">
        <v>770</v>
      </c>
      <c r="F23" s="90"/>
      <c r="J23" s="143"/>
    </row>
    <row r="24" spans="1:10" ht="39">
      <c r="A24" s="87" t="str">
        <f ca="1">Declaration!B38</f>
        <v xml:space="preserve">Tantal  </v>
      </c>
      <c r="B24" s="86">
        <f>IF(AND($B$14="Yes",$B$19="Yes"),Declaration!D38,0)</f>
        <v>0</v>
      </c>
      <c r="C24" s="86" t="str">
        <f ca="1">IF(H24=1,J24,I24)</f>
        <v>Vollständig</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Vollständig</v>
      </c>
      <c r="J24" s="18"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87" t="str">
        <f ca="1">Declaration!B39</f>
        <v>Zinn  (*)</v>
      </c>
      <c r="B25" s="86" t="str">
        <f>IF(AND($B$15="Yes",$B$20="Yes"),Declaration!D39,0)</f>
        <v>No</v>
      </c>
      <c r="C25" s="86" t="str">
        <f ca="1">IF(H25=1,J25,I25)</f>
        <v>Vollständig</v>
      </c>
      <c r="D25" s="94" t="str">
        <f>IF(H25=1,"Click here to answer question 3 for Tin","")</f>
        <v/>
      </c>
      <c r="E25" s="19" t="s">
        <v>770</v>
      </c>
      <c r="F25" s="91">
        <f>IF(OR(B15="No",B20="No"),0,1)</f>
        <v>1</v>
      </c>
      <c r="G25" s="67">
        <f>IF(B25=0,1,0)</f>
        <v>0</v>
      </c>
      <c r="H25" s="68">
        <f>F25*G25</f>
        <v>0</v>
      </c>
      <c r="I25" s="142" t="str">
        <f ca="1">OFFSET(L!$C$1,MATCH("Checker"&amp;"Comp",L!$A:$A,0)-1,SL,,)</f>
        <v>Vollständig</v>
      </c>
      <c r="J25" s="18"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87" t="str">
        <f ca="1">Declaration!B40</f>
        <v xml:space="preserve">Gold  </v>
      </c>
      <c r="B26" s="86">
        <f>IF(AND($B$16="Yes",$B$21="Yes"),Declaration!D40,0)</f>
        <v>0</v>
      </c>
      <c r="C26" s="86" t="str">
        <f ca="1">IF(H26=1,J26,I26)</f>
        <v>Vollständig</v>
      </c>
      <c r="D26" s="94" t="str">
        <f>IF(H26=1,"Click here to answer question 3 for Gold","")</f>
        <v/>
      </c>
      <c r="E26" s="19" t="s">
        <v>770</v>
      </c>
      <c r="F26" s="91">
        <f>IF(OR(B16="No",B21="No"),0,1)</f>
        <v>0</v>
      </c>
      <c r="G26" s="67">
        <f>IF(B26=0,1,0)</f>
        <v>1</v>
      </c>
      <c r="H26" s="68">
        <f>F26*G26</f>
        <v>0</v>
      </c>
      <c r="I26" s="142" t="str">
        <f ca="1">OFFSET(L!$C$1,MATCH("Checker"&amp;"Comp",L!$A:$A,0)-1,SL,,)</f>
        <v>Vollständig</v>
      </c>
      <c r="J26" s="18"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87" t="str">
        <f ca="1">Declaration!B41</f>
        <v xml:space="preserve">Wolfram  </v>
      </c>
      <c r="B27" s="86">
        <f>IF(AND($B$17="Yes",$B$22="Yes"),Declaration!D41,0)</f>
        <v>0</v>
      </c>
      <c r="C27" s="86" t="str">
        <f ca="1">IF(H27=1,J27,I27)</f>
        <v>Vollständig</v>
      </c>
      <c r="D27" s="94" t="str">
        <f>IF(H27=1,"Click here to answer question 3 for Tungsten","")</f>
        <v/>
      </c>
      <c r="E27" s="19" t="s">
        <v>770</v>
      </c>
      <c r="F27" s="91">
        <f>IF(OR(B17="No",B22="No"),0,1)</f>
        <v>0</v>
      </c>
      <c r="G27" s="67">
        <f>IF(B27=0,1,0)</f>
        <v>1</v>
      </c>
      <c r="H27" s="68">
        <f>F27*G27</f>
        <v>0</v>
      </c>
      <c r="I27" s="142" t="str">
        <f ca="1">OFFSET(L!$C$1,MATCH("Checker"&amp;"Comp",L!$A:$A,0)-1,SL,,)</f>
        <v>Vollständig</v>
      </c>
      <c r="J27" s="18"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6" t="str">
        <f ca="1">Declaration!B43</f>
        <v>4) Beziehen Schmelzhütten in Ihrer Lieferkette ihre 3TG aus von Konflikten betroffenen und risikoreichen Gebieten? (*)</v>
      </c>
      <c r="B28" s="86"/>
      <c r="C28" s="86"/>
      <c r="D28" s="94"/>
      <c r="E28" s="19"/>
      <c r="F28" s="19"/>
      <c r="G28" s="19"/>
      <c r="I28" s="142"/>
    </row>
    <row r="29" spans="1:10" ht="41.1" customHeight="1">
      <c r="A29" s="87" t="str">
        <f ca="1">Declaration!B44</f>
        <v xml:space="preserve">Tantal  </v>
      </c>
      <c r="B29" s="86">
        <f>IF(AND($B$14="Yes",$B$19="Yes"),Declaration!D44,0)</f>
        <v>0</v>
      </c>
      <c r="C29" s="86" t="str">
        <f ca="1">IF(H29=1,J29,I29)</f>
        <v>Vollständig</v>
      </c>
      <c r="D29" s="243" t="str">
        <f>IF(H29=1,"Click here to answer question 4 for Tantalum","")</f>
        <v/>
      </c>
      <c r="E29" s="19"/>
      <c r="F29" s="91">
        <f>F24</f>
        <v>0</v>
      </c>
      <c r="G29" s="67">
        <f t="shared" ref="G29" si="8">IF(B29=0,1,0)</f>
        <v>1</v>
      </c>
      <c r="H29" s="68">
        <f t="shared" ref="H29" si="9">F29*G29</f>
        <v>0</v>
      </c>
      <c r="I29" s="142" t="str">
        <f ca="1">OFFSET(L!$C$1,MATCH("Checker"&amp;"Comp",L!$A:$A,0)-1,SL,,)</f>
        <v>Vollständig</v>
      </c>
      <c r="J29" s="18"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87" t="str">
        <f ca="1">Declaration!B45</f>
        <v>Zinn  (*)</v>
      </c>
      <c r="B30" s="86" t="str">
        <f>IF(AND($B$15="Yes",$B$20="Yes"),Declaration!D45,0)</f>
        <v>No</v>
      </c>
      <c r="C30" s="86" t="str">
        <f ca="1">IF(H30=1,J30,I30)</f>
        <v>Vollständig</v>
      </c>
      <c r="D30" s="243" t="str">
        <f>IF(H30=1,"Click here to answer question 4 for Tin","")</f>
        <v/>
      </c>
      <c r="E30" s="19"/>
      <c r="F30" s="91">
        <f>F25</f>
        <v>1</v>
      </c>
      <c r="G30" s="67">
        <f>IF(B30=0,1,0)</f>
        <v>0</v>
      </c>
      <c r="H30" s="68">
        <f>F30*G30</f>
        <v>0</v>
      </c>
      <c r="I30" s="142" t="str">
        <f ca="1">OFFSET(L!$C$1,MATCH("Checker"&amp;"Comp",L!$A:$A,0)-1,SL,,)</f>
        <v>Vollständig</v>
      </c>
      <c r="J30" s="18"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87" t="str">
        <f ca="1">Declaration!B46</f>
        <v xml:space="preserve">Gold  </v>
      </c>
      <c r="B31" s="86">
        <f>IF(AND($B$16="Yes",$B$21="Yes"),Declaration!D46,0)</f>
        <v>0</v>
      </c>
      <c r="C31" s="86" t="str">
        <f ca="1">IF(H31=1,J31,I31)</f>
        <v>Vollständig</v>
      </c>
      <c r="D31" s="243" t="str">
        <f>IF(H31=1,"Click here to answer question 4 for Gold","")</f>
        <v/>
      </c>
      <c r="E31" s="19"/>
      <c r="F31" s="91">
        <f>F26</f>
        <v>0</v>
      </c>
      <c r="G31" s="67">
        <f>IF(B31=0,1,0)</f>
        <v>1</v>
      </c>
      <c r="H31" s="68">
        <f>F31*G31</f>
        <v>0</v>
      </c>
      <c r="I31" s="142" t="str">
        <f ca="1">OFFSET(L!$C$1,MATCH("Checker"&amp;"Comp",L!$A:$A,0)-1,SL,,)</f>
        <v>Vollständig</v>
      </c>
      <c r="J31" s="18"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87" t="str">
        <f ca="1">Declaration!B47</f>
        <v xml:space="preserve">Wolfram  </v>
      </c>
      <c r="B32" s="86">
        <f>IF(AND($B$17="Yes",$B$22="Yes"),Declaration!D47,0)</f>
        <v>0</v>
      </c>
      <c r="C32" s="86" t="str">
        <f ca="1">IF(H32=1,J32,I32)</f>
        <v>Vollständig</v>
      </c>
      <c r="D32" s="243" t="str">
        <f>IF(H32=1,"Click here to answer question 4 for Tungsten","")</f>
        <v/>
      </c>
      <c r="E32" s="19"/>
      <c r="F32" s="91">
        <f>F27</f>
        <v>0</v>
      </c>
      <c r="G32" s="67">
        <f>IF(B32=0,1,0)</f>
        <v>1</v>
      </c>
      <c r="H32" s="68">
        <f>F32*G32</f>
        <v>0</v>
      </c>
      <c r="I32" s="142" t="str">
        <f ca="1">OFFSET(L!$C$1,MATCH("Checker"&amp;"Comp",L!$A:$A,0)-1,SL,,)</f>
        <v>Vollständig</v>
      </c>
      <c r="J32" s="18"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6" t="str">
        <f ca="1">Declaration!B49</f>
        <v>5) Stammt das für die Funktionalität oder  Herstellung Ihrer Produkte benötigte 3TG-Mineral zu 100 % aus Recycling- oder Schrottquellen?  (*)</v>
      </c>
      <c r="B33" s="89"/>
      <c r="C33" s="89"/>
      <c r="D33" s="93"/>
      <c r="E33" s="19" t="s">
        <v>1261</v>
      </c>
      <c r="F33" s="90"/>
      <c r="J33" s="143"/>
    </row>
    <row r="34" spans="1:10" ht="51">
      <c r="A34" s="87" t="str">
        <f ca="1">Declaration!B50</f>
        <v xml:space="preserve">Tantal  </v>
      </c>
      <c r="B34" s="86">
        <f>IF(AND($B$14="Yes",$B$19="Yes"),Declaration!D50,0)</f>
        <v>0</v>
      </c>
      <c r="C34" s="86" t="str">
        <f ca="1">IF(H34=1,J34,I34)</f>
        <v>Vollständig</v>
      </c>
      <c r="D34" s="243" t="str">
        <f>IF(H34=1,"Click here to answer question 5 for Tantalum","")</f>
        <v/>
      </c>
      <c r="E34" s="19" t="s">
        <v>1261</v>
      </c>
      <c r="F34" s="91">
        <f>F24</f>
        <v>0</v>
      </c>
      <c r="G34" s="67">
        <f>IF(B34=0,1,0)</f>
        <v>1</v>
      </c>
      <c r="H34" s="68">
        <f>F34*G34</f>
        <v>0</v>
      </c>
      <c r="I34" s="142" t="str">
        <f ca="1">OFFSET(L!$C$1,MATCH("Checker"&amp;"Comp",L!$A:$A,0)-1,SL,,)</f>
        <v>Vollständig</v>
      </c>
      <c r="J34" s="143"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87" t="str">
        <f ca="1">Declaration!B51</f>
        <v>Zinn  (*)</v>
      </c>
      <c r="B35" s="86" t="str">
        <f>IF(AND($B$15="Yes",$B$20="Yes"),Declaration!D51,0)</f>
        <v>No</v>
      </c>
      <c r="C35" s="86" t="str">
        <f ca="1">IF(H35=1,J35,I35)</f>
        <v>Vollständig</v>
      </c>
      <c r="D35" s="243" t="str">
        <f>IF(H35=1,"Click here to answer question 5 for Tin","")</f>
        <v/>
      </c>
      <c r="E35" s="19" t="s">
        <v>1261</v>
      </c>
      <c r="F35" s="91">
        <f>F25</f>
        <v>1</v>
      </c>
      <c r="G35" s="67">
        <f>IF(B35=0,1,0)</f>
        <v>0</v>
      </c>
      <c r="H35" s="68">
        <f>F35*G35</f>
        <v>0</v>
      </c>
      <c r="I35" s="142" t="str">
        <f ca="1">OFFSET(L!$C$1,MATCH("Checker"&amp;"Comp",L!$A:$A,0)-1,SL,,)</f>
        <v>Vollständig</v>
      </c>
      <c r="J35" s="143"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87" t="str">
        <f ca="1">Declaration!B52</f>
        <v xml:space="preserve">Gold  </v>
      </c>
      <c r="B36" s="86">
        <f>IF(AND($B$16="Yes",$B$21="Yes"),Declaration!D52,0)</f>
        <v>0</v>
      </c>
      <c r="C36" s="86" t="str">
        <f ca="1">IF(H36=1,J36,I36)</f>
        <v>Vollständig</v>
      </c>
      <c r="D36" s="243" t="str">
        <f>IF(H36=1,"Click here to answer question 5 for Gold","")</f>
        <v/>
      </c>
      <c r="E36" s="19" t="s">
        <v>1261</v>
      </c>
      <c r="F36" s="91">
        <f>F26</f>
        <v>0</v>
      </c>
      <c r="G36" s="67">
        <f>IF(B36=0,1,0)</f>
        <v>1</v>
      </c>
      <c r="H36" s="68">
        <f>F36*G36</f>
        <v>0</v>
      </c>
      <c r="I36" s="142" t="str">
        <f ca="1">OFFSET(L!$C$1,MATCH("Checker"&amp;"Comp",L!$A:$A,0)-1,SL,,)</f>
        <v>Vollständig</v>
      </c>
      <c r="J36" s="143"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87" t="str">
        <f ca="1">Declaration!B53</f>
        <v xml:space="preserve">Wolfram  </v>
      </c>
      <c r="B37" s="86">
        <f>IF(AND($B$17="Yes",$B$22="Yes"),Declaration!D53,0)</f>
        <v>0</v>
      </c>
      <c r="C37" s="86" t="str">
        <f ca="1">IF(H37=1,J37,I37)</f>
        <v>Vollständig</v>
      </c>
      <c r="D37" s="243" t="str">
        <f>IF(H37=1,"Click here to answer question 5 for Tungsten","")</f>
        <v/>
      </c>
      <c r="E37" s="19" t="s">
        <v>1261</v>
      </c>
      <c r="F37" s="91">
        <f>F27</f>
        <v>0</v>
      </c>
      <c r="G37" s="67">
        <f>IF(B37=0,1,0)</f>
        <v>1</v>
      </c>
      <c r="H37" s="68">
        <f>F37*G37</f>
        <v>0</v>
      </c>
      <c r="I37" s="142" t="str">
        <f ca="1">OFFSET(L!$C$1,MATCH("Checker"&amp;"Comp",L!$A:$A,0)-1,SL,,)</f>
        <v>Vollständig</v>
      </c>
      <c r="J37" s="143"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6" t="str">
        <f ca="1">Declaration!B55</f>
        <v>6) Wie hoch ist der Prozentsatz an Lieferanten, die auf Ihre Lieferkettenumfrage geantwortet haben? (*)</v>
      </c>
      <c r="B38" s="89"/>
      <c r="C38" s="89"/>
      <c r="D38" s="93"/>
      <c r="E38" s="19" t="s">
        <v>770</v>
      </c>
      <c r="F38" s="90"/>
    </row>
    <row r="39" spans="1:10" ht="26.25">
      <c r="A39" s="87" t="str">
        <f ca="1">Declaration!B56</f>
        <v xml:space="preserve">Tantal  </v>
      </c>
      <c r="B39" s="251">
        <f>IF(AND($B$14="Yes",$B$19="Yes"),Declaration!D56,0)</f>
        <v>0</v>
      </c>
      <c r="C39" s="86" t="str">
        <f ca="1">IF(H39=1,J39,I39)</f>
        <v>Vollständig</v>
      </c>
      <c r="D39" s="244" t="str">
        <f>IF(H39=1,"Click here to answer question 6 for Tantalum","")</f>
        <v/>
      </c>
      <c r="E39" s="19" t="s">
        <v>769</v>
      </c>
      <c r="F39" s="91">
        <f>F24</f>
        <v>0</v>
      </c>
      <c r="G39" s="67">
        <f>IF(B39=0,1,0)</f>
        <v>1</v>
      </c>
      <c r="H39" s="68">
        <f>F39*G39</f>
        <v>0</v>
      </c>
      <c r="I39" s="142" t="str">
        <f ca="1">OFFSET(L!$C$1,MATCH("Checker"&amp;"Comp",L!$A:$A,0)-1,SL,,)</f>
        <v>Vollständig</v>
      </c>
      <c r="J39" s="18" t="str">
        <f ca="1">OFFSET(L!$C$1,MATCH("Checker"&amp;ADDRESS(ROW(),COLUMN(),4),L!$A:$A,0)-1,SL,,)</f>
        <v>Geben Sie den Vollständigkeitsgrad der Schmelzhütteninformationen des Anbieters in Prozent in der Reiterzelle D50 der Erklärung an</v>
      </c>
    </row>
    <row r="40" spans="1:10" ht="26.25">
      <c r="A40" s="87" t="str">
        <f ca="1">Declaration!B57</f>
        <v>Zinn  (*)</v>
      </c>
      <c r="B40" s="251" t="str">
        <f>IF(AND($B$15="Yes",$B$20="Yes"),Declaration!D57,0)</f>
        <v>100%</v>
      </c>
      <c r="C40" s="86" t="str">
        <f ca="1">IF(H40=1,J40,I40)</f>
        <v>Vollständig</v>
      </c>
      <c r="D40" s="244" t="str">
        <f>IF(H40=1,"Click here to answer question 6 for Tin","")</f>
        <v/>
      </c>
      <c r="E40" s="19" t="s">
        <v>769</v>
      </c>
      <c r="F40" s="91">
        <f>F25</f>
        <v>1</v>
      </c>
      <c r="G40" s="67">
        <f>IF(B40=0,1,0)</f>
        <v>0</v>
      </c>
      <c r="H40" s="68">
        <f>F40*G40</f>
        <v>0</v>
      </c>
      <c r="I40" s="142" t="str">
        <f ca="1">OFFSET(L!$C$1,MATCH("Checker"&amp;"Comp",L!$A:$A,0)-1,SL,,)</f>
        <v>Vollständig</v>
      </c>
      <c r="J40" s="18" t="str">
        <f ca="1">OFFSET(L!$C$1,MATCH("Checker"&amp;ADDRESS(ROW(),COLUMN(),4),L!$A:$A,0)-1,SL,,)</f>
        <v>Geben Sie den Vollständigkeitsgrad der Schmelzhütteninformationen des Anbieters in Prozent in der Reiterzelle D51 der Erklärung an</v>
      </c>
    </row>
    <row r="41" spans="1:10" ht="26.25">
      <c r="A41" s="87" t="str">
        <f ca="1">Declaration!B58</f>
        <v xml:space="preserve">Gold  </v>
      </c>
      <c r="B41" s="251">
        <f>IF(AND($B$16="Yes",$B$21="Yes"),Declaration!D58,0)</f>
        <v>0</v>
      </c>
      <c r="C41" s="86" t="str">
        <f ca="1">IF(H41=1,J41,I41)</f>
        <v>Vollständig</v>
      </c>
      <c r="D41" s="244" t="str">
        <f>IF(H41=1,"Click here to answer question 6 for Gold","")</f>
        <v/>
      </c>
      <c r="E41" s="19" t="s">
        <v>769</v>
      </c>
      <c r="F41" s="91">
        <f>F26</f>
        <v>0</v>
      </c>
      <c r="G41" s="67">
        <f>IF(B41=0,1,0)</f>
        <v>1</v>
      </c>
      <c r="H41" s="68">
        <f>F41*G41</f>
        <v>0</v>
      </c>
      <c r="I41" s="142" t="str">
        <f ca="1">OFFSET(L!$C$1,MATCH("Checker"&amp;"Comp",L!$A:$A,0)-1,SL,,)</f>
        <v>Vollständig</v>
      </c>
      <c r="J41" s="18" t="str">
        <f ca="1">OFFSET(L!$C$1,MATCH("Checker"&amp;ADDRESS(ROW(),COLUMN(),4),L!$A:$A,0)-1,SL,,)</f>
        <v>Geben Sie den Vollständigkeitsgrad der Schmelzhütteninformationen des Anbieters in Prozent in der Reiterzelle D52 der Erklärung an</v>
      </c>
    </row>
    <row r="42" spans="1:10" ht="26.25">
      <c r="A42" s="87" t="str">
        <f ca="1">Declaration!B59</f>
        <v xml:space="preserve">Wolfram  </v>
      </c>
      <c r="B42" s="251">
        <f>IF(AND($B$17="Yes",$B$22="Yes"),Declaration!D59,0)</f>
        <v>0</v>
      </c>
      <c r="C42" s="86" t="str">
        <f ca="1">IF(H42=1,J42,I42)</f>
        <v>Vollständig</v>
      </c>
      <c r="D42" s="244" t="str">
        <f>IF(H42=1,"Click here to answer question 6 for Tungsten","")</f>
        <v/>
      </c>
      <c r="E42" s="19" t="s">
        <v>769</v>
      </c>
      <c r="F42" s="91">
        <f>F27</f>
        <v>0</v>
      </c>
      <c r="G42" s="67">
        <f>IF(B42=0,1,0)</f>
        <v>1</v>
      </c>
      <c r="H42" s="68">
        <f>F42*G42</f>
        <v>0</v>
      </c>
      <c r="I42" s="142" t="str">
        <f ca="1">OFFSET(L!$C$1,MATCH("Checker"&amp;"Comp",L!$A:$A,0)-1,SL,,)</f>
        <v>Vollständig</v>
      </c>
      <c r="J42" s="18" t="str">
        <f ca="1">OFFSET(L!$C$1,MATCH("Checker"&amp;ADDRESS(ROW(),COLUMN(),4),L!$A:$A,0)-1,SL,,)</f>
        <v>Geben Sie den Vollständigkeitsgrad der Schmelzhütteninformationen des Anbieters in Prozent in der Reiterzelle D53 der Erklärung an</v>
      </c>
    </row>
    <row r="43" spans="1:10" ht="51">
      <c r="A43" s="86" t="str">
        <f ca="1">Declaration!B61</f>
        <v>7) Haben Sie alle Schmelzhütten ermittelt, die das 3TG-Mineral für Ihre Lieferkette bereitstellen?  (*)</v>
      </c>
      <c r="B43" s="89"/>
      <c r="C43" s="89"/>
      <c r="D43" s="93"/>
      <c r="E43" s="19" t="s">
        <v>771</v>
      </c>
      <c r="F43" s="90"/>
    </row>
    <row r="44" spans="1:10" ht="51.75">
      <c r="A44" s="87" t="str">
        <f ca="1">Declaration!B62</f>
        <v xml:space="preserve">Tantal  </v>
      </c>
      <c r="B44" s="86">
        <f>IF(AND($B$14="Yes",$B$19="Yes"),Declaration!D62,0)</f>
        <v>0</v>
      </c>
      <c r="C44" s="86" t="str">
        <f ca="1">IF(H44=1,J44,I44)</f>
        <v>Vollständig</v>
      </c>
      <c r="D44" s="243" t="str">
        <f>IF(H44=1,"Click here to answer question 7 for Tantalum","")</f>
        <v/>
      </c>
      <c r="E44" s="19" t="s">
        <v>1257</v>
      </c>
      <c r="F44" s="91">
        <f>F24</f>
        <v>0</v>
      </c>
      <c r="G44" s="67">
        <f>IF(B44=0,1,0)</f>
        <v>1</v>
      </c>
      <c r="H44" s="68">
        <f>F44*G44</f>
        <v>0</v>
      </c>
      <c r="I44" s="142" t="str">
        <f ca="1">OFFSET(L!$C$1,MATCH("Checker"&amp;"Comp",L!$A:$A,0)-1,SL,,)</f>
        <v>Vollständig</v>
      </c>
      <c r="J44" s="18"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87" t="str">
        <f ca="1">Declaration!B63</f>
        <v>Zinn  (*)</v>
      </c>
      <c r="B45" s="86" t="str">
        <f>IF(AND($B$15="Yes",$B$20="Yes"),Declaration!D63,0)</f>
        <v>Yes</v>
      </c>
      <c r="C45" s="86" t="str">
        <f ca="1">IF(H45=1,J45,I45)</f>
        <v>Vollständig</v>
      </c>
      <c r="D45" s="243" t="str">
        <f>IF(H45=1,"Click here to answer question 7 for Tin","")</f>
        <v/>
      </c>
      <c r="E45" s="19" t="s">
        <v>1257</v>
      </c>
      <c r="F45" s="91">
        <f>F25</f>
        <v>1</v>
      </c>
      <c r="G45" s="67">
        <f>IF(B45=0,1,0)</f>
        <v>0</v>
      </c>
      <c r="H45" s="68">
        <f>F45*G45</f>
        <v>0</v>
      </c>
      <c r="I45" s="142" t="str">
        <f ca="1">OFFSET(L!$C$1,MATCH("Checker"&amp;"Comp",L!$A:$A,0)-1,SL,,)</f>
        <v>Vollständig</v>
      </c>
      <c r="J45" s="18"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87" t="str">
        <f ca="1">Declaration!B64</f>
        <v xml:space="preserve">Gold  </v>
      </c>
      <c r="B46" s="86">
        <f>IF(AND($B$16="Yes",$B$21="Yes"),Declaration!D64,0)</f>
        <v>0</v>
      </c>
      <c r="C46" s="86" t="str">
        <f ca="1">IF(H46=1,J46,I46)</f>
        <v>Vollständig</v>
      </c>
      <c r="D46" s="243" t="str">
        <f>IF(H46=1,"Click here to answer question 7 for Gold","")</f>
        <v/>
      </c>
      <c r="E46" s="19" t="s">
        <v>1257</v>
      </c>
      <c r="F46" s="91">
        <f>F26</f>
        <v>0</v>
      </c>
      <c r="G46" s="67">
        <f>IF(B46=0,1,0)</f>
        <v>1</v>
      </c>
      <c r="H46" s="68">
        <f>F46*G46</f>
        <v>0</v>
      </c>
      <c r="I46" s="142" t="str">
        <f ca="1">OFFSET(L!$C$1,MATCH("Checker"&amp;"Comp",L!$A:$A,0)-1,SL,,)</f>
        <v>Vollständig</v>
      </c>
      <c r="J46" s="18"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87" t="str">
        <f ca="1">Declaration!B65</f>
        <v xml:space="preserve">Wolfram  </v>
      </c>
      <c r="B47" s="86">
        <f>IF(AND($B$17="Yes",$B$22="Yes"),Declaration!D65,0)</f>
        <v>0</v>
      </c>
      <c r="C47" s="86" t="str">
        <f ca="1">IF(H47=1,J47,I47)</f>
        <v>Vollständig</v>
      </c>
      <c r="D47" s="243" t="str">
        <f>IF(H47=1,"Click here to answer question 7 for Tungsten","")</f>
        <v/>
      </c>
      <c r="E47" s="19" t="s">
        <v>1257</v>
      </c>
      <c r="F47" s="91">
        <f>F27</f>
        <v>0</v>
      </c>
      <c r="G47" s="67">
        <f>IF(B47=0,1,0)</f>
        <v>1</v>
      </c>
      <c r="H47" s="68">
        <f>F47*G47</f>
        <v>0</v>
      </c>
      <c r="I47" s="142" t="str">
        <f ca="1">OFFSET(L!$C$1,MATCH("Checker"&amp;"Comp",L!$A:$A,0)-1,SL,,)</f>
        <v>Vollständig</v>
      </c>
      <c r="J47" s="18"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6" t="str">
        <f ca="1">Declaration!B67</f>
        <v>8) Haben Sie alle relevanten Informationen, die Ihr Unternehmen zu den Schmelzhütten erhalten hat, in dieser Erklärung aufgeführt?  (*)</v>
      </c>
      <c r="B48" s="89"/>
      <c r="C48" s="89"/>
      <c r="D48" s="93"/>
      <c r="E48" s="19" t="s">
        <v>772</v>
      </c>
      <c r="F48" s="90"/>
    </row>
    <row r="49" spans="1:10" ht="39">
      <c r="A49" s="87" t="str">
        <f ca="1">Declaration!B68</f>
        <v xml:space="preserve">Tantal  </v>
      </c>
      <c r="B49" s="86">
        <f>IF(AND($B$14="Yes",$B$19="Yes"),Declaration!D68,0)</f>
        <v>0</v>
      </c>
      <c r="C49" s="86" t="str">
        <f ca="1">IF(H49=1,J49,I49)</f>
        <v>Vollständig</v>
      </c>
      <c r="D49" s="244" t="str">
        <f>IF(H49=1,"Click here to answer question 8 for Tantalum","")</f>
        <v/>
      </c>
      <c r="E49" s="19" t="s">
        <v>770</v>
      </c>
      <c r="F49" s="91">
        <f>F24</f>
        <v>0</v>
      </c>
      <c r="G49" s="67">
        <f>IF(B49=0,1,0)</f>
        <v>1</v>
      </c>
      <c r="H49" s="68">
        <f>F49*G49</f>
        <v>0</v>
      </c>
      <c r="I49" s="142" t="str">
        <f ca="1">OFFSET(L!$C$1,MATCH("Checker"&amp;"Comp",L!$A:$A,0)-1,SL,,)</f>
        <v>Vollständig</v>
      </c>
      <c r="J49" s="18" t="str">
        <f ca="1">OFFSET(L!$C$1,MATCH("Checker"&amp;ADDRESS(ROW(),COLUMN(),4),L!$A:$A,0)-1,SL,,)</f>
        <v xml:space="preserve">Geben Sie in der Reiterzelle D62 der Erklärung an, ob alle Informationen über Tantalum-Schmelzhütten zur Verfügung gestellt worden sind </v>
      </c>
    </row>
    <row r="50" spans="1:10" ht="39">
      <c r="A50" s="87" t="str">
        <f ca="1">Declaration!B69</f>
        <v>Zinn  (*)</v>
      </c>
      <c r="B50" s="86" t="str">
        <f>IF(AND($B$15="Yes",$B$20="Yes"),Declaration!D69,0)</f>
        <v>Yes</v>
      </c>
      <c r="C50" s="86" t="str">
        <f ca="1">IF(H50=1,J50,I50)</f>
        <v>Vollständig</v>
      </c>
      <c r="D50" s="244" t="str">
        <f>IF(H50=1,"Click here to answer question 8 for Tin","")</f>
        <v/>
      </c>
      <c r="E50" s="19" t="s">
        <v>770</v>
      </c>
      <c r="F50" s="91">
        <f>F25</f>
        <v>1</v>
      </c>
      <c r="G50" s="67">
        <f>IF(B50=0,1,0)</f>
        <v>0</v>
      </c>
      <c r="H50" s="68">
        <f>F50*G50</f>
        <v>0</v>
      </c>
      <c r="I50" s="142" t="str">
        <f ca="1">OFFSET(L!$C$1,MATCH("Checker"&amp;"Comp",L!$A:$A,0)-1,SL,,)</f>
        <v>Vollständig</v>
      </c>
      <c r="J50" s="18" t="str">
        <f ca="1">OFFSET(L!$C$1,MATCH("Checker"&amp;ADDRESS(ROW(),COLUMN(),4),L!$A:$A,0)-1,SL,,)</f>
        <v xml:space="preserve">Geben Sie in der Reiterzelle D63 der Erklärung an, ob alle Informationen über Zinn-Schmelzhütten zur Verfügung gestellt worden sind </v>
      </c>
    </row>
    <row r="51" spans="1:10" ht="39">
      <c r="A51" s="87" t="str">
        <f ca="1">Declaration!B70</f>
        <v xml:space="preserve">Gold  </v>
      </c>
      <c r="B51" s="86">
        <f>IF(AND($B$16="Yes",$B$21="Yes"),Declaration!D70,0)</f>
        <v>0</v>
      </c>
      <c r="C51" s="86" t="str">
        <f ca="1">IF(H51=1,J51,I51)</f>
        <v>Vollständig</v>
      </c>
      <c r="D51" s="244" t="str">
        <f>IF(H51=1,"Click here to answer question 8 for Gold","")</f>
        <v/>
      </c>
      <c r="E51" s="19" t="s">
        <v>770</v>
      </c>
      <c r="F51" s="91">
        <f>F26</f>
        <v>0</v>
      </c>
      <c r="G51" s="67">
        <f>IF(B51=0,1,0)</f>
        <v>1</v>
      </c>
      <c r="H51" s="68">
        <f>F51*G51</f>
        <v>0</v>
      </c>
      <c r="I51" s="142" t="str">
        <f ca="1">OFFSET(L!$C$1,MATCH("Checker"&amp;"Comp",L!$A:$A,0)-1,SL,,)</f>
        <v>Vollständig</v>
      </c>
      <c r="J51" s="18" t="str">
        <f ca="1">OFFSET(L!$C$1,MATCH("Checker"&amp;ADDRESS(ROW(),COLUMN(),4),L!$A:$A,0)-1,SL,,)</f>
        <v>Geben Sie in der Reiterzelle D64 der Erklärung an, ob alle Informationen über Gold-Schmelzhütten zur Verfügung gestellt worden sind</v>
      </c>
    </row>
    <row r="52" spans="1:10" ht="39">
      <c r="A52" s="87" t="str">
        <f ca="1">Declaration!B71</f>
        <v xml:space="preserve">Wolfram  </v>
      </c>
      <c r="B52" s="86">
        <f>IF(AND($B$17="Yes",$B$22="Yes"),Declaration!D71,0)</f>
        <v>0</v>
      </c>
      <c r="C52" s="86" t="str">
        <f ca="1">IF(H52=1,J52,I52)</f>
        <v>Vollständig</v>
      </c>
      <c r="D52" s="244" t="str">
        <f>IF(H52=1,"Click here to answer question 8 for Tungsten","")</f>
        <v/>
      </c>
      <c r="E52" s="19" t="s">
        <v>770</v>
      </c>
      <c r="F52" s="91">
        <f>F27</f>
        <v>0</v>
      </c>
      <c r="G52" s="67">
        <f>IF(B52=0,1,0)</f>
        <v>1</v>
      </c>
      <c r="H52" s="68">
        <f>F52*G52</f>
        <v>0</v>
      </c>
      <c r="I52" s="142" t="str">
        <f ca="1">OFFSET(L!$C$1,MATCH("Checker"&amp;"Comp",L!$A:$A,0)-1,SL,,)</f>
        <v>Vollständig</v>
      </c>
      <c r="J52" s="18" t="str">
        <f ca="1">OFFSET(L!$C$1,MATCH("Checker"&amp;ADDRESS(ROW(),COLUMN(),4),L!$A:$A,0)-1,SL,,)</f>
        <v xml:space="preserve">Geben Sie in der Reiterzelle D65 der Erklärung an, ob alle Informationen über Tungsten-Schmelzhütten zur Verfügung gestellt worden sind </v>
      </c>
    </row>
    <row r="53" spans="1:10" ht="25.5">
      <c r="A53" s="86" t="str">
        <f ca="1">Declaration!B74</f>
        <v>Frage</v>
      </c>
      <c r="B53" s="89"/>
      <c r="C53" s="89"/>
      <c r="D53" s="93"/>
      <c r="E53" s="19" t="s">
        <v>426</v>
      </c>
      <c r="F53" s="90"/>
      <c r="G53" s="90"/>
      <c r="H53" s="90"/>
    </row>
    <row r="54" spans="1:10" ht="39">
      <c r="A54" s="86" t="str">
        <f ca="1">Declaration!B75</f>
        <v>A. Haben Sie eine konfliktfreie Beschaffungsrichtlinie für Mineralien erstellt? (*)</v>
      </c>
      <c r="B54" s="86" t="str">
        <f>Declaration!D75</f>
        <v>Yes</v>
      </c>
      <c r="C54" s="86" t="str">
        <f t="shared" ref="C54:C60" ca="1" si="10">IF(H54=1,J54,I54)</f>
        <v>Vollständig</v>
      </c>
      <c r="D54" s="92" t="str">
        <f>IF(H54=1,"Click here to answer question (A)","")</f>
        <v/>
      </c>
      <c r="E54" s="19" t="s">
        <v>1261</v>
      </c>
      <c r="F54" s="91">
        <f>IF(SUM(F$24:F$27)=0,0,1)</f>
        <v>1</v>
      </c>
      <c r="G54" s="67">
        <f>IF(B54=0,1,0)</f>
        <v>0</v>
      </c>
      <c r="H54" s="68">
        <f t="shared" ref="H54:H60" si="11">F54*G54</f>
        <v>0</v>
      </c>
      <c r="I54" s="142" t="str">
        <f ca="1">OFFSET(L!$C$1,MATCH("Checker"&amp;"Comp",L!$A:$A,0)-1,SL,,)</f>
        <v>Vollständig</v>
      </c>
      <c r="J54" s="18"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6" t="str">
        <f ca="1">Declaration!B77</f>
        <v>B. Ist Ihre konfliktfreie Beschaffungsrichtlinie für Mineralien auf Ihrer Website einsehbar? (Hinweis - Wenn „Ja“, sollte der Benutzer die URL im Anmerkungsfeld angeben.) (*)</v>
      </c>
      <c r="B55" s="86" t="str">
        <f>Declaration!D77</f>
        <v>Yes</v>
      </c>
      <c r="C55" s="86" t="str">
        <f t="shared" ca="1" si="10"/>
        <v>Vollständig</v>
      </c>
      <c r="D55" s="92" t="str">
        <f>IF(H55=1,"Click here to answer question (B)","")</f>
        <v/>
      </c>
      <c r="E55" s="19" t="s">
        <v>1261</v>
      </c>
      <c r="F55" s="91">
        <f t="shared" ref="F55" si="12">F$54</f>
        <v>1</v>
      </c>
      <c r="G55" s="67">
        <f>IF(B55=0,1,0)</f>
        <v>0</v>
      </c>
      <c r="H55" s="68">
        <f t="shared" si="11"/>
        <v>0</v>
      </c>
      <c r="I55" s="142" t="str">
        <f ca="1">OFFSET(L!$C$1,MATCH("Checker"&amp;"Comp",L!$A:$A,0)-1,SL,,)</f>
        <v>Vollständig</v>
      </c>
      <c r="J55" s="18"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6" t="s">
        <v>3</v>
      </c>
      <c r="B56" s="86" t="str">
        <f>Declaration!G77</f>
        <v>https://www.stannol.de/fileadmin/redakteur/download/gesetzliche-vorgaben/5-Richtlinien_Konfliktmineralien_DE.pdf
https://www.stannol.de/fileadmin/user_upload/Conflict_Minerals_Policy.pdf</v>
      </c>
      <c r="C56" s="86" t="str">
        <f t="shared" ca="1" si="10"/>
        <v>Vollständig</v>
      </c>
      <c r="D56" s="92" t="str">
        <f>IF(H56=1,"Click here to specify URL for question (B)","")</f>
        <v/>
      </c>
      <c r="E56" s="19"/>
      <c r="F56" s="91">
        <f>IF(AND(F55=1,B55="Yes"),1,0)</f>
        <v>1</v>
      </c>
      <c r="G56" s="67">
        <f>IF(LEN(B56)&gt;1,0,1)</f>
        <v>0</v>
      </c>
      <c r="H56" s="68">
        <f t="shared" si="11"/>
        <v>0</v>
      </c>
      <c r="I56" s="142" t="str">
        <f ca="1">OFFSET(L!$C$1,MATCH("Checker"&amp;"Comp",L!$A:$A,0)-1,SL,,)</f>
        <v>Vollständig</v>
      </c>
      <c r="J56" s="137" t="str">
        <f ca="1">OFFSET(L!$C$1,MATCH("Checker"&amp;ADDRESS(ROW(),COLUMN(),4),L!$A:$A,0)-1,SL,,)</f>
        <v xml:space="preserve">Geben Sie in der Arbeitsblattzelle D77 der Erklärung den URL an, falls Sie Frage B mit „Ja“ beantworten. Das Format des URL sollte „www.companyname.com“ entsprechen </v>
      </c>
    </row>
    <row r="57" spans="1:10" ht="63.75">
      <c r="A57" s="86" t="str">
        <f ca="1">Declaration!B79</f>
        <v>C. Verlangen Sie von Ihren direkten Lieferanten, das 3TG-Mineral ausschließlich von Schmelzhütten zu beziehen, deren Sorgfaltspflichts-Praktiken von einer unabhängigen Instanz überprüft wurden? (*)</v>
      </c>
      <c r="B57" s="86" t="str">
        <f>Declaration!D79</f>
        <v>Yes</v>
      </c>
      <c r="C57" s="86" t="str">
        <f t="shared" ca="1" si="10"/>
        <v>Vollständig</v>
      </c>
      <c r="D57" s="92" t="str">
        <f>IF(H57=1,"Click here to answer question (C)","")</f>
        <v/>
      </c>
      <c r="E57" s="19" t="s">
        <v>1261</v>
      </c>
      <c r="F57" s="91">
        <f>F$54</f>
        <v>1</v>
      </c>
      <c r="G57" s="67">
        <f>IF(B57=0,1,0)</f>
        <v>0</v>
      </c>
      <c r="H57" s="68">
        <f t="shared" si="11"/>
        <v>0</v>
      </c>
      <c r="I57" s="142" t="str">
        <f ca="1">OFFSET(L!$C$1,MATCH("Checker"&amp;"Comp",L!$A:$A,0)-1,SL,,)</f>
        <v>Vollständig</v>
      </c>
      <c r="J57" s="18"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6" t="str">
        <f ca="1">Declaration!B81</f>
        <v>D. Haben Sie Sorgfaltspflichtmaßnahmen für die konfliktfreie Beschaffung in Kraft gesetzt? (*)</v>
      </c>
      <c r="B58" s="86" t="str">
        <f>Declaration!D81</f>
        <v>Yes</v>
      </c>
      <c r="C58" s="86" t="str">
        <f t="shared" ca="1" si="10"/>
        <v>Vollständig</v>
      </c>
      <c r="D58" s="92" t="str">
        <f>IF(H58=1,"Click here to answer question (D)","")</f>
        <v/>
      </c>
      <c r="E58" s="19" t="s">
        <v>1261</v>
      </c>
      <c r="F58" s="91">
        <f>F$54</f>
        <v>1</v>
      </c>
      <c r="G58" s="67">
        <f>IF(B58=0,1,0)</f>
        <v>0</v>
      </c>
      <c r="H58" s="68">
        <f t="shared" si="11"/>
        <v>0</v>
      </c>
      <c r="I58" s="142" t="str">
        <f ca="1">OFFSET(L!$C$1,MATCH("Checker"&amp;"Comp",L!$A:$A,0)-1,SL,,)</f>
        <v>Vollständig</v>
      </c>
      <c r="J58" s="18" t="str">
        <f ca="1">OFFSET(L!$C$1,MATCH("Checker"&amp;ADDRESS(ROW(),COLUMN(),4),L!$A:$A,0)-1,SL,,)</f>
        <v>Geben Sie in der Reiterzelle D81 der Erklärung an, ob Sie von Ihren Lieferanten Namen von Schmelzhütten verlangen</v>
      </c>
    </row>
    <row r="59" spans="1:10" ht="39">
      <c r="A59" s="86" t="str">
        <f ca="1">Declaration!B83</f>
        <v>E. Veranstaltet Ihr Unternehmen (eine) Konfliktmineralienumfrage(n) mit seinen entsprechenden Lieferanten? (*)</v>
      </c>
      <c r="B59" s="86" t="str">
        <f>Declaration!D83</f>
        <v>Yes, in conformance with IPC1755 (e.g., CMRT)</v>
      </c>
      <c r="C59" s="86" t="str">
        <f t="shared" ca="1" si="10"/>
        <v>Vollständig</v>
      </c>
      <c r="D59" s="92" t="str">
        <f>IF(H59=1,"Click here to answer question (E)","")</f>
        <v/>
      </c>
      <c r="E59" s="19" t="s">
        <v>1261</v>
      </c>
      <c r="F59" s="91">
        <f>F$54</f>
        <v>1</v>
      </c>
      <c r="G59" s="67">
        <f>IF(B59=0,1,0)</f>
        <v>0</v>
      </c>
      <c r="H59" s="68">
        <f t="shared" si="11"/>
        <v>0</v>
      </c>
      <c r="I59" s="142" t="str">
        <f ca="1">OFFSET(L!$C$1,MATCH("Checker"&amp;"Comp",L!$A:$A,0)-1,SL,,)</f>
        <v>Vollständig</v>
      </c>
      <c r="J59" s="18" t="str">
        <f ca="1">OFFSET(L!$C$1,MATCH("Checker"&amp;ADDRESS(ROW(),COLUMN(),4),L!$A:$A,0)-1,SL,,)</f>
        <v>Geben Sie in der Reiterzelle D83 der Erklärung an, ob Sie von Ihren Lieferanten verlangen, diese Vorlage zur Berichterstattung über Konfliktmineralien auszufüllen</v>
      </c>
    </row>
    <row r="60" spans="1:10" ht="39">
      <c r="A60" s="86" t="str">
        <f ca="1">Declaration!B85</f>
        <v>F. Überprüfen Sie die Sorgfaltspflichts-Informationen, die Sie von ihren Lieferanten erhalten, anhand der Erwartungen Ihres Unternehmens? (*)</v>
      </c>
      <c r="B60" s="86" t="str">
        <f>Declaration!D85</f>
        <v>Yes</v>
      </c>
      <c r="C60" s="86" t="str">
        <f t="shared" ca="1" si="10"/>
        <v>Vollständig</v>
      </c>
      <c r="D60" s="92" t="str">
        <f>IF(H60=1,"Click here to answer question (F)","")</f>
        <v/>
      </c>
      <c r="E60" s="19" t="s">
        <v>1261</v>
      </c>
      <c r="F60" s="91">
        <f>F$54</f>
        <v>1</v>
      </c>
      <c r="G60" s="67">
        <f>IF(B60=0,1,0)</f>
        <v>0</v>
      </c>
      <c r="H60" s="68">
        <f t="shared" si="11"/>
        <v>0</v>
      </c>
      <c r="I60" s="142" t="str">
        <f ca="1">OFFSET(L!$C$1,MATCH("Checker"&amp;"Comp",L!$A:$A,0)-1,SL,,)</f>
        <v>Vollständig</v>
      </c>
      <c r="J60" s="18" t="str">
        <f ca="1">OFFSET(L!$C$1,MATCH("Checker"&amp;ADDRESS(ROW(),COLUMN(),4),L!$A:$A,0)-1,SL,,)</f>
        <v>Geben Sie in der Reiterzelle D85 der Erklärung an, ob Sie Antworten der Lieferanten auf die Anforderungen Ihres Unternehmens überprüfen</v>
      </c>
    </row>
    <row r="61" spans="1:10" ht="15" hidden="1">
      <c r="A61" s="86"/>
      <c r="B61" s="86"/>
      <c r="C61" s="86"/>
      <c r="D61" s="92"/>
      <c r="E61" s="19"/>
      <c r="F61" s="91"/>
      <c r="G61" s="67"/>
      <c r="H61" s="68"/>
      <c r="I61" s="142"/>
    </row>
    <row r="62" spans="1:10" ht="39">
      <c r="A62" s="86" t="str">
        <f ca="1">Declaration!B87</f>
        <v>G. Sieht Ihr Review-Prozess ein Korrekturmaßnahmen-Management vor? (*)</v>
      </c>
      <c r="B62" s="86" t="str">
        <f>Declaration!D87</f>
        <v>Yes</v>
      </c>
      <c r="C62" s="86" t="str">
        <f t="shared" ref="C62:C68" ca="1" si="13">IF(H62=1,J62,I62)</f>
        <v>Vollständig</v>
      </c>
      <c r="D62" s="92" t="str">
        <f>IF(H62=1,"Click here to answer question (G)","")</f>
        <v/>
      </c>
      <c r="E62" s="19" t="s">
        <v>1261</v>
      </c>
      <c r="F62" s="91">
        <f>F$54</f>
        <v>1</v>
      </c>
      <c r="G62" s="67">
        <f>IF(B62=0,1,0)</f>
        <v>0</v>
      </c>
      <c r="H62" s="68">
        <f t="shared" ref="H62:H69" si="14">F62*G62</f>
        <v>0</v>
      </c>
      <c r="I62" s="142" t="str">
        <f ca="1">OFFSET(L!$C$1,MATCH("Checker"&amp;"Comp",L!$A:$A,0)-1,SL,,)</f>
        <v>Vollständig</v>
      </c>
      <c r="J62" s="18" t="str">
        <f ca="1">OFFSET(L!$C$1,MATCH("Checker"&amp;ADDRESS(ROW(),COLUMN(),4),L!$A:$A,0)-1,SL,,)</f>
        <v>Geben Sie in der Reiterzelle D87 der Erklärung an, ob Ihr Prüfungsverfahren ein Abhilfemaßnahmen-Management umfasst</v>
      </c>
    </row>
    <row r="63" spans="1:10" ht="39">
      <c r="A63" s="86" t="str">
        <f ca="1">Declaration!B89</f>
        <v>H. Ist Ihr Unternehmen zu einer jährlichen Offenlegung der Konfliktmineralien verpflichtet? (*)</v>
      </c>
      <c r="B63" s="86" t="str">
        <f>Declaration!D89</f>
        <v>No</v>
      </c>
      <c r="C63" s="86" t="str">
        <f t="shared" ca="1" si="13"/>
        <v>Vollständig</v>
      </c>
      <c r="D63" s="92" t="str">
        <f>IF(H63=1,"Click here to answer question (H)","")</f>
        <v/>
      </c>
      <c r="E63" s="19" t="s">
        <v>1261</v>
      </c>
      <c r="F63" s="91">
        <f>F$54</f>
        <v>1</v>
      </c>
      <c r="G63" s="67">
        <f>IF(B63=0,1,0)</f>
        <v>0</v>
      </c>
      <c r="H63" s="68">
        <f t="shared" si="14"/>
        <v>0</v>
      </c>
      <c r="I63" s="142" t="str">
        <f ca="1">OFFSET(L!$C$1,MATCH("Checker"&amp;"Comp",L!$A:$A,0)-1,SL,,)</f>
        <v>Vollständig</v>
      </c>
      <c r="J63" s="18" t="str">
        <f ca="1">OFFSET(L!$C$1,MATCH("Checker"&amp;ADDRESS(ROW(),COLUMN(),4),L!$A:$A,0)-1,SL,,)</f>
        <v>Geben Sie in Zelle D89 der Erklärung an, ob Sie der Offenlegungspflicht gegenüber der SEC, der EU-Regelung oder beiden unterliegen</v>
      </c>
    </row>
    <row r="64" spans="1:10" ht="39">
      <c r="A64" s="86" t="s">
        <v>1254</v>
      </c>
      <c r="B64" s="86" t="str">
        <f ca="1">IF(G64=1,"No products or item numbers listed","One or more product / item numbers have been provided")</f>
        <v>No products or item numbers listed</v>
      </c>
      <c r="C64" s="86" t="str">
        <f t="shared" ca="1" si="13"/>
        <v>Vollständig</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Vollständig</v>
      </c>
      <c r="J64" s="18"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6" t="s">
        <v>14563</v>
      </c>
      <c r="B65" s="86"/>
      <c r="C65" s="86" t="str">
        <f t="shared" ca="1" si="13"/>
        <v>Vollständig</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Vollständig</v>
      </c>
      <c r="J65" s="18" t="str">
        <f ca="1">OFFSET(L!$C$1,MATCH("Checker"&amp;ADDRESS(ROW(),COLUMN(),4),L!$A:$A,0)-1,SL,,)</f>
        <v xml:space="preserve">Geben Sie im Reiter „Smelter List“ eine Liste von Tantalum-Schmelzhütten ein, die Material für die Lieferkette beitragen </v>
      </c>
      <c r="K65" s="147">
        <f>IF(H14+H19&gt;0,1,0)</f>
        <v>0</v>
      </c>
      <c r="L65" s="18" t="e">
        <f ca="1">OFFSET(L!$C$1,MATCH("Checker"&amp;ADDRESS(ROW(),COLUMN(),4),L!$A:$A,0)-1,SL,,)</f>
        <v>#N/A</v>
      </c>
    </row>
    <row r="66" spans="1:12" ht="39">
      <c r="A66" s="86" t="s">
        <v>1761</v>
      </c>
      <c r="B66" s="86"/>
      <c r="C66" s="86" t="str">
        <f t="shared" ca="1" si="13"/>
        <v>Vollständig</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Vollständig</v>
      </c>
      <c r="J66" s="18" t="str">
        <f ca="1">OFFSET(L!$C$1,MATCH("Checker"&amp;ADDRESS(ROW(),COLUMN(),4),L!$A:$A,0)-1,SL,,)</f>
        <v xml:space="preserve">Geben Sie im Reiter „Smelter List“ eine Liste von Zinn-Schmelzhütten ein, die Material für die Lieferkette beitragen    </v>
      </c>
      <c r="K66" s="147">
        <f>IF(H15+H20&gt;0,1,0)</f>
        <v>0</v>
      </c>
      <c r="L66" s="18" t="e">
        <f ca="1">OFFSET(L!$C$1,MATCH("Checker"&amp;ADDRESS(ROW(),COLUMN(),4),L!$A:$A,0)-1,SL,,)</f>
        <v>#N/A</v>
      </c>
    </row>
    <row r="67" spans="1:12" ht="39">
      <c r="A67" s="86" t="s">
        <v>1762</v>
      </c>
      <c r="B67" s="86"/>
      <c r="C67" s="86" t="str">
        <f t="shared" ca="1" si="13"/>
        <v>Vollständig</v>
      </c>
      <c r="D67" s="92" t="str">
        <f ca="1">IF(H67=0,"","Click here to provide smelter information")</f>
        <v/>
      </c>
      <c r="E67" s="19" t="s">
        <v>770</v>
      </c>
      <c r="F67" s="91">
        <f>F26</f>
        <v>0</v>
      </c>
      <c r="G67" s="67">
        <f ca="1">IF(AND(COUNTIF(SmelterIdetifiedForMetal,"Gold")&gt;0,COUNTIF('Smelter List'!AB$5:AB$2504,"Gold?*")&gt;0),0,1)</f>
        <v>1</v>
      </c>
      <c r="H67" s="68">
        <f t="shared" ca="1" si="14"/>
        <v>0</v>
      </c>
      <c r="I67" s="142" t="str">
        <f ca="1">OFFSET(L!$C$1,MATCH("Checker"&amp;"Comp",L!$A:$A,0)-1,SL,,)</f>
        <v>Vollständig</v>
      </c>
      <c r="J67" s="18" t="str">
        <f ca="1">OFFSET(L!$C$1,MATCH("Checker"&amp;ADDRESS(ROW(),COLUMN(),4),L!$A:$A,0)-1,SL,,)</f>
        <v xml:space="preserve">Geben Sie im Reiter „Smelter List“ eine Liste von Gold-Schmelzhütten ein, die Material für die Lieferkette beitragen  </v>
      </c>
      <c r="K67" s="147">
        <f>IF(H16+H21&gt;0,1,0)</f>
        <v>0</v>
      </c>
      <c r="L67" s="18" t="e">
        <f ca="1">OFFSET(L!$C$1,MATCH("Checker"&amp;ADDRESS(ROW(),COLUMN(),4),L!$A:$A,0)-1,SL,,)</f>
        <v>#N/A</v>
      </c>
    </row>
    <row r="68" spans="1:12" ht="39">
      <c r="A68" s="86" t="s">
        <v>1763</v>
      </c>
      <c r="B68" s="86"/>
      <c r="C68" s="86" t="str">
        <f t="shared" ca="1" si="13"/>
        <v>Vollständig</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Vollständig</v>
      </c>
      <c r="J68" s="18" t="str">
        <f ca="1">OFFSET(L!$C$1,MATCH("Checker"&amp;ADDRESS(ROW(),COLUMN(),4),L!$A:$A,0)-1,SL,,)</f>
        <v xml:space="preserve">Geben Sie im Reiter „Smelter List“ eine Liste von Tungsten-Schmelzhütten ein, die Material für die Lieferkette beitragen  </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Vollständig</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3" sqref="D23"/>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Abschluss nur erforderlich, wenn die Ebene "Produkt (oder eine Liste von Produkten)" auf der "Erklärung" Arbeitsblatt ausgewählt wurde-</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Produkt- oder Artikelnummer des Befragten (*)</v>
      </c>
      <c r="C5" s="129" t="str">
        <f ca="1">OFFSET(L!$C$1,MATCH("Product List"&amp;ADDRESS(ROW(),COLUMN(),4),L!$A:$A,0)-1,SL,,)</f>
        <v>Produkt- oder Artikelbeschreibung des Befragten</v>
      </c>
      <c r="D5" s="129" t="str">
        <f ca="1">OFFSET(L!$C$1,MATCH("Product List"&amp;ADDRESS(ROW(),COLUMN(),4),L!$A:$A,0)-1,SL,,)</f>
        <v>Produkt- oder Artikelnummer des Anforderer</v>
      </c>
      <c r="E5" s="129" t="str">
        <f ca="1">OFFSET(L!$C$1,MATCH("Product List"&amp;ADDRESS(ROW(),COLUMN(),4),L!$A:$A,0)-1,SL,,)</f>
        <v>Produkt- oder Artikelbeschreibung des Anforderer</v>
      </c>
      <c r="F5" s="69" t="str">
        <f ca="1">OFFSET(L!$C$1,MATCH("Product List"&amp;ADDRESS(ROW(),COLUMN(),4),L!$A:$A,0)-1,SL,,)</f>
        <v>Kommentare</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Metall</v>
      </c>
      <c r="B4" s="175" t="str">
        <f ca="1">OFFSET(L!$C$1,MATCH("Smelter Look-up"&amp;ADDRESS(ROW(),COLUMN(),4),L!$A:$A,0)-1,SL,,)</f>
        <v>Schmelzhüttensuche (*)</v>
      </c>
      <c r="C4" s="175" t="str">
        <f ca="1">OFFSET(L!$C$1,MATCH("Smelter Look-up"&amp;ADDRESS(ROW(),COLUMN(),4),L!$A:$A,0)-1,SL,,)</f>
        <v>Standard Schmelzhütten Namen</v>
      </c>
      <c r="D4" s="175" t="str">
        <f ca="1">OFFSET(L!$C$1,MATCH("Smelter Look-up"&amp;ADDRESS(ROW(),COLUMN(),4),L!$A:$A,0)-1,SL,,)</f>
        <v>Schmelzhütte: Land</v>
      </c>
      <c r="E4" s="175" t="str">
        <f ca="1">OFFSET(L!$C$1,MATCH("Smelter Look-up"&amp;ADDRESS(ROW(),COLUMN(),4),L!$A:$A,0)-1,SL,,)</f>
        <v>Schmelzhütten-ID</v>
      </c>
      <c r="F4" s="175" t="str">
        <f ca="1">OFFSET(L!$C$1,MATCH("Smelter Look-up"&amp;ADDRESS(ROW(),COLUMN(),4),L!$A:$A,0)-1,SL,,)</f>
        <v>Quelle der Schmelzhütte Id-Nummer</v>
      </c>
      <c r="G4" s="175" t="str">
        <f ca="1">OFFSET(L!$C$1,MATCH("Smelter Look-up"&amp;ADDRESS(ROW(),COLUMN(),4),L!$A:$A,0)-1,SL,,)</f>
        <v>Schmelzhütten: Straße</v>
      </c>
      <c r="H4" s="175" t="str">
        <f ca="1">OFFSET(L!$C$1,MATCH("Smelter Look-up"&amp;ADDRESS(ROW(),COLUMN(),4),L!$A:$A,0)-1,SL,,)</f>
        <v>Schmelzhütten: Stadt</v>
      </c>
      <c r="I4" s="175" t="str">
        <f ca="1">OFFSET(L!$C$1,MATCH("Smelter Look-up"&amp;ADDRESS(ROW(),COLUMN(),4),L!$A:$A,0)-1,SL,,)</f>
        <v>Schmelzhütten: Bundesland/Provinz</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56.2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Claudio Sündermann</cp:lastModifiedBy>
  <cp:lastPrinted>2015-04-21T20:47:43Z</cp:lastPrinted>
  <dcterms:created xsi:type="dcterms:W3CDTF">2010-06-21T21:00:23Z</dcterms:created>
  <dcterms:modified xsi:type="dcterms:W3CDTF">2026-06-26T08:20:17Z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